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Lomake" sheetId="1" r:id="rId1"/>
    <sheet name="Konedata" sheetId="2" r:id="rId2"/>
    <sheet name="Tietokanta" sheetId="3" r:id="rId3"/>
    <sheet name="Pikavalintatiedot" sheetId="4" r:id="rId4"/>
    <sheet name="Laskenta" sheetId="5" r:id="rId5"/>
    <sheet name="Garmin siirtoformaatti" sheetId="6" r:id="rId6"/>
    <sheet name="Versiointi" sheetId="7" r:id="rId7"/>
  </sheets>
  <definedNames>
    <definedName name="AAKET">'Tietokanta'!#REF!</definedName>
    <definedName name="AHOLA">'Tietokanta'!#REF!</definedName>
    <definedName name="DEGER">'Tietokanta'!#REF!</definedName>
    <definedName name="EFAA">'Tietokanta'!#REF!</definedName>
    <definedName name="EFAH">'Tietokanta'!#REF!</definedName>
    <definedName name="EFAL">'Tietokanta'!#REF!</definedName>
    <definedName name="EFET">'Tietokanta'!#REF!</definedName>
    <definedName name="EFEU">'Tietokanta'!#REF!</definedName>
    <definedName name="EFFO">'Tietokanta'!#REF!</definedName>
    <definedName name="EFHA">'Tietokanta'!#REF!</definedName>
    <definedName name="EFHF">'Tietokanta'!#REF!</definedName>
    <definedName name="EFHI">'Tietokanta'!#REF!</definedName>
    <definedName name="EFHK">'Tietokanta'!#REF!</definedName>
    <definedName name="EFHL">'Tietokanta'!#REF!</definedName>
    <definedName name="EFHM">'Tietokanta'!#REF!</definedName>
    <definedName name="EFHN">'Tietokanta'!#REF!</definedName>
    <definedName name="EFHP">'Tietokanta'!#REF!</definedName>
    <definedName name="EFHV">'Tietokanta'!#REF!</definedName>
    <definedName name="EFHY">'Tietokanta'!#REF!</definedName>
    <definedName name="EFII">'Tietokanta'!#REF!</definedName>
    <definedName name="EFIK">'Tietokanta'!#REF!</definedName>
    <definedName name="EFIM">'Tietokanta'!#REF!</definedName>
    <definedName name="EFIT">'Tietokanta'!#REF!</definedName>
    <definedName name="EFIV">'Tietokanta'!#REF!</definedName>
    <definedName name="EFJM">'Tietokanta'!#REF!</definedName>
    <definedName name="EFJO">'Tietokanta'!#REF!</definedName>
    <definedName name="EFJP">'Tietokanta'!#REF!</definedName>
    <definedName name="EFJY">'Tietokanta'!#REF!</definedName>
    <definedName name="EFKA">'Tietokanta'!#REF!</definedName>
    <definedName name="EFKE">'Tietokanta'!#REF!</definedName>
    <definedName name="EFKG">'Tietokanta'!#REF!</definedName>
    <definedName name="EFKH">'Tietokanta'!#REF!</definedName>
    <definedName name="EFKI">'Tietokanta'!#REF!</definedName>
    <definedName name="EFKJ">'Tietokanta'!#REF!</definedName>
    <definedName name="EFKK">'Tietokanta'!#REF!</definedName>
    <definedName name="EFKM">'Tietokanta'!#REF!</definedName>
    <definedName name="EFKO">'Tietokanta'!#REF!</definedName>
    <definedName name="EFKR">'Tietokanta'!#REF!</definedName>
    <definedName name="EFKS">'Tietokanta'!#REF!</definedName>
    <definedName name="EFKT">'Tietokanta'!#REF!</definedName>
    <definedName name="EFKU">'Tietokanta'!#REF!</definedName>
    <definedName name="EFKV">'Tietokanta'!#REF!</definedName>
    <definedName name="EFKY">'Tietokanta'!#REF!</definedName>
    <definedName name="EFLA">'Tietokanta'!#REF!</definedName>
    <definedName name="EFLL">'Tietokanta'!#REF!</definedName>
    <definedName name="EFLN">'Tietokanta'!#REF!</definedName>
    <definedName name="EFLP">'Tietokanta'!#REF!</definedName>
    <definedName name="EFMA">'Tietokanta'!#REF!</definedName>
    <definedName name="EFME">'Tietokanta'!#REF!</definedName>
    <definedName name="EFMI">'Tietokanta'!#REF!</definedName>
    <definedName name="EFMN">'Tietokanta'!#REF!</definedName>
    <definedName name="EFMP">'Tietokanta'!#REF!</definedName>
    <definedName name="EFNU">'Tietokanta'!#REF!</definedName>
    <definedName name="EFOP">'Tietokanta'!#REF!</definedName>
    <definedName name="EFOU">'Tietokanta'!#REF!</definedName>
    <definedName name="EFPA">'Tietokanta'!#REF!</definedName>
    <definedName name="EFPH">'Tietokanta'!#REF!</definedName>
    <definedName name="EFPI">'Tietokanta'!#REF!</definedName>
    <definedName name="EFPK">'Tietokanta'!#REF!</definedName>
    <definedName name="EFPN">'Tietokanta'!#REF!</definedName>
    <definedName name="EFPO">'Tietokanta'!#REF!</definedName>
    <definedName name="EFPU">'Tietokanta'!#REF!</definedName>
    <definedName name="EFPY">'Tietokanta'!#REF!</definedName>
    <definedName name="EFRA">'Tietokanta'!#REF!</definedName>
    <definedName name="EFRH">'Tietokanta'!#REF!</definedName>
    <definedName name="EFRN">'Tietokanta'!#REF!</definedName>
    <definedName name="EFRO">'Tietokanta'!#REF!</definedName>
    <definedName name="EFRU">'Tietokanta'!#REF!</definedName>
    <definedName name="EFRV">'Tietokanta'!#REF!</definedName>
    <definedName name="EFRY">'Tietokanta'!#REF!</definedName>
    <definedName name="EFSA">'Tietokanta'!#REF!</definedName>
    <definedName name="EFSE">'Tietokanta'!#REF!</definedName>
    <definedName name="EFSI">'Tietokanta'!#REF!</definedName>
    <definedName name="EFSO">'Tietokanta'!#REF!</definedName>
    <definedName name="EFSU">'Tietokanta'!#REF!</definedName>
    <definedName name="EFTO">'Tietokanta'!#REF!</definedName>
    <definedName name="EFTP">'Tietokanta'!#REF!</definedName>
    <definedName name="EFTS">'Tietokanta'!#REF!</definedName>
    <definedName name="EFTU">'Tietokanta'!#REF!</definedName>
    <definedName name="EFUT">'Tietokanta'!#REF!</definedName>
    <definedName name="EFVA">'Tietokanta'!#REF!</definedName>
    <definedName name="EFWB">'Tietokanta'!#REF!</definedName>
    <definedName name="EFVI">'Tietokanta'!#REF!</definedName>
    <definedName name="EFVL">'Tietokanta'!#REF!</definedName>
    <definedName name="EFVR">'Tietokanta'!#REF!</definedName>
    <definedName name="EFVT">'Tietokanta'!#REF!</definedName>
    <definedName name="EFVU">'Tietokanta'!#REF!</definedName>
    <definedName name="EFYL">'Tietokanta'!#REF!</definedName>
    <definedName name="EMETT">'Tietokanta'!#REF!</definedName>
    <definedName name="GRANO">'Tietokanta'!#REF!</definedName>
    <definedName name="HAARA">'Tietokanta'!#REF!</definedName>
    <definedName name="HALLA">'Tietokanta'!#REF!</definedName>
    <definedName name="HAMMA">'Tietokanta'!#REF!</definedName>
    <definedName name="HANHI">'Tietokanta'!#REF!</definedName>
    <definedName name="HANKA">'Tietokanta'!#REF!</definedName>
    <definedName name="HARJU">'Tietokanta'!#REF!</definedName>
    <definedName name="HIIRO">'Tietokanta'!#REF!</definedName>
    <definedName name="HIRSI">'Tietokanta'!#REF!</definedName>
    <definedName name="HONKO">'Tietokanta'!#REF!</definedName>
    <definedName name="HOPSU">'Tietokanta'!#REF!</definedName>
    <definedName name="HORMI">'Tietokanta'!#REF!</definedName>
    <definedName name="HUHTA">'Tietokanta'!#REF!</definedName>
    <definedName name="HUTTU">'Tietokanta'!#REF!</definedName>
    <definedName name="KALLA">'Tietokanta'!#REF!</definedName>
    <definedName name="KALLI">'Tietokanta'!#REF!</definedName>
    <definedName name="KANTO">'Tietokanta'!#REF!</definedName>
    <definedName name="KATTI">'Tietokanta'!#REF!</definedName>
    <definedName name="KAUKA">'Tietokanta'!#REF!</definedName>
    <definedName name="KAURA">'Tietokanta'!#REF!</definedName>
    <definedName name="KEHVO">'Tietokanta'!#REF!</definedName>
    <definedName name="KELOS">'Tietokanta'!#REF!</definedName>
    <definedName name="KERIM">'Tietokanta'!#REF!</definedName>
    <definedName name="KINTA">'Tietokanta'!#REF!</definedName>
    <definedName name="KITKA">'Tietokanta'!#REF!</definedName>
    <definedName name="KOKKO">'Tietokanta'!#REF!</definedName>
    <definedName name="KOLPI">'Tietokanta'!#REF!</definedName>
    <definedName name="KONGO">'Tietokanta'!#REF!</definedName>
    <definedName name="KORTE">'Tietokanta'!#REF!</definedName>
    <definedName name="KORVA">'Tietokanta'!#REF!</definedName>
    <definedName name="KOSKI">'Tietokanta'!#REF!</definedName>
    <definedName name="KOTI">'Tietokanta'!#REF!</definedName>
    <definedName name="KULJU">'Tietokanta'!#REF!</definedName>
    <definedName name="KULLA">'Tietokanta'!#REF!</definedName>
    <definedName name="KUUSA">'Tietokanta'!#REF!</definedName>
    <definedName name="LAHNA">'Tietokanta'!#REF!</definedName>
    <definedName name="LAIHA">'Tietokanta'!#REF!</definedName>
    <definedName name="LAMPO">'Tietokanta'!#REF!</definedName>
    <definedName name="LANKI">'Tietokanta'!#REF!</definedName>
    <definedName name="LAPPA">'Tietokanta'!#REF!</definedName>
    <definedName name="LAPUA">'Tietokanta'!#REF!</definedName>
    <definedName name="LEMLA">'Tietokanta'!#REF!</definedName>
    <definedName name="LEMPO">'Tietokanta'!#REF!</definedName>
    <definedName name="LIMIS">'Tietokanta'!#REF!</definedName>
    <definedName name="LIPRI">'Tietokanta'!#REF!</definedName>
    <definedName name="LOUHI">'Tietokanta'!#REF!</definedName>
    <definedName name="LUMIO">'Tietokanta'!#REF!</definedName>
    <definedName name="LUOPA">'Tietokanta'!#REF!</definedName>
    <definedName name="LUOTO">'Tietokanta'!#REF!</definedName>
    <definedName name="LUVIA">'Tietokanta'!#REF!</definedName>
    <definedName name="MAKSA">'Tietokanta'!#REF!</definedName>
    <definedName name="MALAX">'Tietokanta'!#REF!</definedName>
    <definedName name="MYLLY">'Tietokanta'!#REF!</definedName>
    <definedName name="NAARA">'Tietokanta'!#REF!</definedName>
    <definedName name="NIILA">'Tietokanta'!#REF!</definedName>
    <definedName name="NITTY">'Tietokanta'!#REF!</definedName>
    <definedName name="NOKKA">'Tietokanta'!#REF!</definedName>
    <definedName name="NOORA">'Tietokanta'!#REF!</definedName>
    <definedName name="NORVA">'Tietokanta'!#REF!</definedName>
    <definedName name="NURMO">'Tietokanta'!#REF!</definedName>
    <definedName name="OHKO">'Tietokanta'!#REF!</definedName>
    <definedName name="OITTI">'Tietokanta'!#REF!</definedName>
    <definedName name="OLKKA">'Tietokanta'!#REF!</definedName>
    <definedName name="OSIKO">'Tietokanta'!#REF!</definedName>
    <definedName name="OTAVA">'Tietokanta'!#REF!</definedName>
    <definedName name="PAHTA">'Tietokanta'!#REF!</definedName>
    <definedName name="PALVA">'Tietokanta'!#REF!</definedName>
    <definedName name="PASTO">'Tietokanta'!#REF!</definedName>
    <definedName name="PELNI">'Tietokanta'!#REF!</definedName>
    <definedName name="PELTO">'Tietokanta'!#REF!</definedName>
    <definedName name="PORNA">'Tietokanta'!#REF!</definedName>
    <definedName name="PURMO">'Tietokanta'!#REF!</definedName>
    <definedName name="PURNU">'Tietokanta'!#REF!</definedName>
    <definedName name="RAUHA">'Tietokanta'!#REF!</definedName>
    <definedName name="RAUPO">'Tietokanta'!#REF!</definedName>
    <definedName name="Reittipiste_1_E_d">'Tietokanta'!#REF!</definedName>
    <definedName name="Reittipiste_1_E_m">'Tietokanta'!#REF!</definedName>
    <definedName name="Reittipiste_1_N_d">'Tietokanta'!#REF!</definedName>
    <definedName name="Reittipiste_1_N_m">'Tietokanta'!#REF!</definedName>
    <definedName name="Reittipiste_10_E_d">'Tietokanta'!#REF!</definedName>
    <definedName name="Reittipiste_10_E_m">'Tietokanta'!#REF!</definedName>
    <definedName name="Reittipiste_10_N_d">'Tietokanta'!#REF!</definedName>
    <definedName name="Reittipiste_10_N_m">'Tietokanta'!#REF!</definedName>
    <definedName name="Reittipiste_11_E_d">'Tietokanta'!#REF!</definedName>
    <definedName name="Reittipiste_11_E_m">'Tietokanta'!#REF!</definedName>
    <definedName name="Reittipiste_11_N_d">'Tietokanta'!#REF!</definedName>
    <definedName name="Reittipiste_11_N_m">'Tietokanta'!#REF!</definedName>
    <definedName name="Reittipiste_12_E_d">'Tietokanta'!#REF!</definedName>
    <definedName name="Reittipiste_12_E_m">'Tietokanta'!#REF!</definedName>
    <definedName name="Reittipiste_12_N_d">'Tietokanta'!#REF!</definedName>
    <definedName name="Reittipiste_12_N_m">'Tietokanta'!#REF!</definedName>
    <definedName name="Reittipiste_13_E_d">'Tietokanta'!#REF!</definedName>
    <definedName name="Reittipiste_13_E_m">'Tietokanta'!#REF!</definedName>
    <definedName name="Reittipiste_13_N_d">'Tietokanta'!#REF!</definedName>
    <definedName name="Reittipiste_13_N_m">'Tietokanta'!#REF!</definedName>
    <definedName name="Reittipiste_14_E_d">'Tietokanta'!#REF!</definedName>
    <definedName name="Reittipiste_14_E_m">'Tietokanta'!#REF!</definedName>
    <definedName name="Reittipiste_14_N_d">'Tietokanta'!#REF!</definedName>
    <definedName name="Reittipiste_14_N_m">'Tietokanta'!#REF!</definedName>
    <definedName name="Reittipiste_15_E_d">'Tietokanta'!#REF!</definedName>
    <definedName name="Reittipiste_15_E_m">'Tietokanta'!#REF!</definedName>
    <definedName name="Reittipiste_15_N_d">'Tietokanta'!#REF!</definedName>
    <definedName name="Reittipiste_15_N_m">'Tietokanta'!#REF!</definedName>
    <definedName name="Reittipiste_2_E_d">'Tietokanta'!#REF!</definedName>
    <definedName name="Reittipiste_2_E_m">'Tietokanta'!#REF!</definedName>
    <definedName name="Reittipiste_2_N_d">'Tietokanta'!#REF!</definedName>
    <definedName name="Reittipiste_2_N_m">'Tietokanta'!#REF!</definedName>
    <definedName name="Reittipiste_3_E_d">'Tietokanta'!#REF!</definedName>
    <definedName name="Reittipiste_3_E_m">'Tietokanta'!#REF!</definedName>
    <definedName name="Reittipiste_3_N_d">'Tietokanta'!#REF!</definedName>
    <definedName name="Reittipiste_3_N_m">'Tietokanta'!#REF!</definedName>
    <definedName name="Reittipiste_4_E_d">'Tietokanta'!#REF!</definedName>
    <definedName name="Reittipiste_4_E_m">'Tietokanta'!#REF!</definedName>
    <definedName name="Reittipiste_4_N_d">'Tietokanta'!#REF!</definedName>
    <definedName name="Reittipiste_4_N_m">'Tietokanta'!#REF!</definedName>
    <definedName name="Reittipiste_5_E_d">'Tietokanta'!#REF!</definedName>
    <definedName name="Reittipiste_5_E_m">'Tietokanta'!#REF!</definedName>
    <definedName name="Reittipiste_5_N_d">'Tietokanta'!#REF!</definedName>
    <definedName name="Reittipiste_5_N_m">'Tietokanta'!#REF!</definedName>
    <definedName name="Reittipiste_6_E_d">'Tietokanta'!#REF!</definedName>
    <definedName name="Reittipiste_6_E_m">'Tietokanta'!#REF!</definedName>
    <definedName name="Reittipiste_6_N_d">'Tietokanta'!#REF!</definedName>
    <definedName name="Reittipiste_6_N_m">'Tietokanta'!#REF!</definedName>
    <definedName name="Reittipiste_7_E_d">'Tietokanta'!#REF!</definedName>
    <definedName name="Reittipiste_7_E_m">'Tietokanta'!#REF!</definedName>
    <definedName name="Reittipiste_7_N_d">'Tietokanta'!#REF!</definedName>
    <definedName name="Reittipiste_7_N_m">'Tietokanta'!#REF!</definedName>
    <definedName name="Reittipiste_8_E_d">'Tietokanta'!#REF!</definedName>
    <definedName name="Reittipiste_8_E_m">'Tietokanta'!#REF!</definedName>
    <definedName name="Reittipiste_8_N_d">'Tietokanta'!#REF!</definedName>
    <definedName name="Reittipiste_8_N_m">'Tietokanta'!#REF!</definedName>
    <definedName name="Reittipiste_9_E_d">'Tietokanta'!#REF!</definedName>
    <definedName name="Reittipiste_9_E_m">'Tietokanta'!#REF!</definedName>
    <definedName name="Reittipiste_9_N_d">'Tietokanta'!#REF!</definedName>
    <definedName name="Reittipiste_9_N_m">'Tietokanta'!#REF!</definedName>
    <definedName name="RUOKO">'Tietokanta'!#REF!</definedName>
    <definedName name="SAARA">'Tietokanta'!#REF!</definedName>
    <definedName name="SAARI">'Tietokanta'!#REF!</definedName>
    <definedName name="SAHRA">'Tietokanta'!#REF!</definedName>
    <definedName name="SAIMA">'Tietokanta'!#REF!</definedName>
    <definedName name="SALPA">'Tietokanta'!#REF!</definedName>
    <definedName name="SANKI">'Tietokanta'!#REF!</definedName>
    <definedName name="SIERI">'Tietokanta'!#REF!</definedName>
    <definedName name="SIILI">'Tietokanta'!#REF!</definedName>
    <definedName name="SIPOO">'Tietokanta'!#REF!</definedName>
    <definedName name="SIURO">'Tietokanta'!#REF!</definedName>
    <definedName name="SORVA">'Tietokanta'!#REF!</definedName>
    <definedName name="TAKKU">'Tietokanta'!#REF!</definedName>
    <definedName name="TALJA">'Tietokanta'!#REF!</definedName>
    <definedName name="TEPAS">'Tietokanta'!#REF!</definedName>
    <definedName name="TIILI">'Tietokanta'!#REF!</definedName>
    <definedName name="TOLVA">'Tietokanta'!#REF!</definedName>
    <definedName name="TOPPI">'Tietokanta'!#REF!</definedName>
    <definedName name="TOUKO">'Tietokanta'!#REF!</definedName>
    <definedName name="_xlnm.Print_Area" localSheetId="0">'Lomake'!$A$1:$O$71</definedName>
    <definedName name="TUOHI">'Tietokanta'!#REF!</definedName>
    <definedName name="UITTO">'Tietokanta'!#REF!</definedName>
    <definedName name="VAKKA">'Tietokanta'!#REF!</definedName>
    <definedName name="VALTA">'Tietokanta'!#REF!</definedName>
    <definedName name="VARTI">'Tietokanta'!#REF!</definedName>
    <definedName name="VESKA">'Tietokanta'!#REF!</definedName>
    <definedName name="VIKSI">'Tietokanta'!#REF!</definedName>
    <definedName name="VIRMA">'Tietokanta'!#REF!</definedName>
    <definedName name="VITSA">'Tietokanta'!#REF!</definedName>
    <definedName name="VUORI">'Tietokanta'!#REF!</definedName>
  </definedNames>
  <calcPr fullCalcOnLoad="1"/>
</workbook>
</file>

<file path=xl/comments1.xml><?xml version="1.0" encoding="utf-8"?>
<comments xmlns="http://schemas.openxmlformats.org/spreadsheetml/2006/main">
  <authors>
    <author>Kari Per?l?</author>
  </authors>
  <commentList>
    <comment ref="D4" authorId="0">
      <text>
        <r>
          <rPr>
            <b/>
            <sz val="8"/>
            <rFont val="Tahoma"/>
            <family val="2"/>
          </rPr>
          <t>Anna tähän TAS
(=tosi ilmanopeus)</t>
        </r>
      </text>
    </comment>
    <comment ref="D5" authorId="0">
      <text>
        <r>
          <rPr>
            <b/>
            <sz val="8"/>
            <rFont val="Tahoma"/>
            <family val="2"/>
          </rPr>
          <t>Anna tähän tuulen suunta matkalentokorkeudella</t>
        </r>
        <r>
          <rPr>
            <sz val="8"/>
            <rFont val="Tahoma"/>
            <family val="2"/>
          </rPr>
          <t xml:space="preserve">
</t>
        </r>
      </text>
    </comment>
    <comment ref="D6" authorId="0">
      <text>
        <r>
          <rPr>
            <b/>
            <sz val="8"/>
            <rFont val="Tahoma"/>
            <family val="2"/>
          </rPr>
          <t>Anna tähän tuulen nopeus matkalentokorkeudella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>Anna tähän matkalentoreitin eranto</t>
        </r>
      </text>
    </comment>
    <comment ref="D8" authorId="0">
      <text>
        <r>
          <rPr>
            <b/>
            <sz val="8"/>
            <rFont val="Tahoma"/>
            <family val="2"/>
          </rPr>
          <t>Anna tähän polttoaineen kulutus matkalentoteholla</t>
        </r>
      </text>
    </comment>
    <comment ref="J4" authorId="0">
      <text>
        <r>
          <rPr>
            <b/>
            <sz val="8"/>
            <rFont val="Tahoma"/>
            <family val="2"/>
          </rPr>
          <t>Anna tähän arvioitu aika ennen koneen käynnistämistä</t>
        </r>
        <r>
          <rPr>
            <sz val="8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8"/>
            <rFont val="Tahoma"/>
            <family val="2"/>
          </rPr>
          <t>Anna tähän tankkaukseen kuluva aika</t>
        </r>
        <r>
          <rPr>
            <sz val="8"/>
            <rFont val="Tahoma"/>
            <family val="2"/>
          </rPr>
          <t xml:space="preserve">
</t>
        </r>
      </text>
    </comment>
    <comment ref="J6" authorId="0">
      <text>
        <r>
          <rPr>
            <b/>
            <sz val="8"/>
            <rFont val="Tahoma"/>
            <family val="2"/>
          </rPr>
          <t>Anna tähän aika joka tarvitaan moottorin lämmityskäyttöön</t>
        </r>
        <r>
          <rPr>
            <sz val="8"/>
            <rFont val="Tahoma"/>
            <family val="2"/>
          </rPr>
          <t xml:space="preserve">
</t>
        </r>
      </text>
    </comment>
    <comment ref="J7" authorId="0">
      <text>
        <r>
          <rPr>
            <b/>
            <sz val="8"/>
            <rFont val="Tahoma"/>
            <family val="2"/>
          </rPr>
          <t>Anna tähän reittipisteessä kuluva ylimääräinen aika</t>
        </r>
        <r>
          <rPr>
            <sz val="8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8"/>
            <rFont val="Tahoma"/>
            <family val="2"/>
          </rPr>
          <t>Anna tähän polttoaineen kulutus lämmityskäytössä</t>
        </r>
      </text>
    </comment>
    <comment ref="J10" authorId="0">
      <text>
        <r>
          <rPr>
            <b/>
            <sz val="8"/>
            <rFont val="Tahoma"/>
            <family val="2"/>
          </rPr>
          <t>Tästä valitaan koneen tunnus, jonka konedataa käytetään
- Kompassi Ohjaussuunnan laskentaan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- Massalaskelmissa</t>
        </r>
      </text>
    </comment>
    <comment ref="F10" authorId="0">
      <text>
        <r>
          <rPr>
            <b/>
            <sz val="8"/>
            <rFont val="Tahoma"/>
            <family val="2"/>
          </rPr>
          <t>Tästä valitaan koneen tunnus, jonka konedataa käytetään
- Kompassi Ohjaussuunnan laskentaan
- Massalaskelmissa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<sst xmlns="http://schemas.openxmlformats.org/spreadsheetml/2006/main" count="1832" uniqueCount="850">
  <si>
    <t>Reittipisteet</t>
  </si>
  <si>
    <t>Koordinaatit</t>
  </si>
  <si>
    <t>EFHV</t>
  </si>
  <si>
    <t>EFFO</t>
  </si>
  <si>
    <t>EFRY</t>
  </si>
  <si>
    <t>EFIK</t>
  </si>
  <si>
    <t>TLS</t>
  </si>
  <si>
    <t>TKK</t>
  </si>
  <si>
    <t>Koneen ilmanopeus</t>
  </si>
  <si>
    <t>Tuulen suunta</t>
  </si>
  <si>
    <t>astetta</t>
  </si>
  <si>
    <t>Tuulen nopeus</t>
  </si>
  <si>
    <t>Nousu/laskukierrosaika / reittipiste</t>
  </si>
  <si>
    <t>Lämmityskäyttöaika</t>
  </si>
  <si>
    <t>Kone hallista- ja tarkastusaika</t>
  </si>
  <si>
    <t>Tankkausaika</t>
  </si>
  <si>
    <t>min</t>
  </si>
  <si>
    <t>MOS</t>
  </si>
  <si>
    <t>KOS</t>
  </si>
  <si>
    <t>MN</t>
  </si>
  <si>
    <t>[min]</t>
  </si>
  <si>
    <t>Aika</t>
  </si>
  <si>
    <t>Matka</t>
  </si>
  <si>
    <t>5min</t>
  </si>
  <si>
    <t>SYÖTTÖTIEDOT</t>
  </si>
  <si>
    <t>Eksymätaulukko</t>
  </si>
  <si>
    <t>Eranto</t>
  </si>
  <si>
    <t>Tuuli</t>
  </si>
  <si>
    <t>Suunta</t>
  </si>
  <si>
    <t>Nopeus</t>
  </si>
  <si>
    <t>Ilmanop.</t>
  </si>
  <si>
    <t>Tuulikulma</t>
  </si>
  <si>
    <t>Poltto-</t>
  </si>
  <si>
    <t>aine</t>
  </si>
  <si>
    <t>Reittipisteen lisäajat yhteensä:</t>
  </si>
  <si>
    <t>EFNU</t>
  </si>
  <si>
    <t>NRO</t>
  </si>
  <si>
    <t>Lämmityskäyttöaika:</t>
  </si>
  <si>
    <t>Tankkausaika:</t>
  </si>
  <si>
    <t>Kone hallista ja tarkastus:</t>
  </si>
  <si>
    <t>Kokonaisaika:</t>
  </si>
  <si>
    <t>Polttoaineen kulutus yhteensä:</t>
  </si>
  <si>
    <t>Matka yhteensä:</t>
  </si>
  <si>
    <t>EFPO</t>
  </si>
  <si>
    <t>N min</t>
  </si>
  <si>
    <t>E min</t>
  </si>
  <si>
    <t>EFAA</t>
  </si>
  <si>
    <t>AAVAHELUKKA</t>
  </si>
  <si>
    <t>EFAH</t>
  </si>
  <si>
    <t>EFAL</t>
  </si>
  <si>
    <t>ALAVUS</t>
  </si>
  <si>
    <t>EFET</t>
  </si>
  <si>
    <t>ENONTEKIO</t>
  </si>
  <si>
    <t>EFEU</t>
  </si>
  <si>
    <t>EURA</t>
  </si>
  <si>
    <t>FORSSA</t>
  </si>
  <si>
    <t>EFHA</t>
  </si>
  <si>
    <t>HALLI</t>
  </si>
  <si>
    <t>EFHF</t>
  </si>
  <si>
    <t>MALMI</t>
  </si>
  <si>
    <t>EFHK</t>
  </si>
  <si>
    <t>VANTAA</t>
  </si>
  <si>
    <t>EFHL</t>
  </si>
  <si>
    <t>HAILUOTO</t>
  </si>
  <si>
    <t>EFHM</t>
  </si>
  <si>
    <t>EFHN</t>
  </si>
  <si>
    <t>HANKO</t>
  </si>
  <si>
    <t>EFHP</t>
  </si>
  <si>
    <t>HAAPAVESI</t>
  </si>
  <si>
    <t>EFII</t>
  </si>
  <si>
    <t>IISALMI</t>
  </si>
  <si>
    <t>KIIKALA</t>
  </si>
  <si>
    <t>EFIM</t>
  </si>
  <si>
    <t>IMMOLA</t>
  </si>
  <si>
    <t>EFIT</t>
  </si>
  <si>
    <t>KITEE</t>
  </si>
  <si>
    <t>EFIV</t>
  </si>
  <si>
    <t>IVALO</t>
  </si>
  <si>
    <t>EFJM</t>
  </si>
  <si>
    <t>EFJO</t>
  </si>
  <si>
    <t>JOENSUU</t>
  </si>
  <si>
    <t>EFJP</t>
  </si>
  <si>
    <t>EFJY</t>
  </si>
  <si>
    <t>EFKA</t>
  </si>
  <si>
    <t>KAUHAVA</t>
  </si>
  <si>
    <t>EFKE</t>
  </si>
  <si>
    <t>KEMI-TORNIO</t>
  </si>
  <si>
    <t>EFKG</t>
  </si>
  <si>
    <t>EFKH</t>
  </si>
  <si>
    <t>KUHMO</t>
  </si>
  <si>
    <t>EFKI</t>
  </si>
  <si>
    <t>EFKJ</t>
  </si>
  <si>
    <t>KAUHAJOKI</t>
  </si>
  <si>
    <t>EFKK</t>
  </si>
  <si>
    <t>EFKM</t>
  </si>
  <si>
    <t>EFKO</t>
  </si>
  <si>
    <t>EFKR</t>
  </si>
  <si>
    <t>EFKS</t>
  </si>
  <si>
    <t>EFKT</t>
  </si>
  <si>
    <t>EFKU</t>
  </si>
  <si>
    <t>EFKV</t>
  </si>
  <si>
    <t>EFKY</t>
  </si>
  <si>
    <t>EFLA</t>
  </si>
  <si>
    <t>EFLL</t>
  </si>
  <si>
    <t>EFLN</t>
  </si>
  <si>
    <t>EFLP</t>
  </si>
  <si>
    <t>EFMA</t>
  </si>
  <si>
    <t>EFME</t>
  </si>
  <si>
    <t>EFMI</t>
  </si>
  <si>
    <t>EFMN</t>
  </si>
  <si>
    <t>EFMP</t>
  </si>
  <si>
    <t>EFOP</t>
  </si>
  <si>
    <t>EFOU</t>
  </si>
  <si>
    <t>EFPA</t>
  </si>
  <si>
    <t>EFPI</t>
  </si>
  <si>
    <t>EFPK</t>
  </si>
  <si>
    <t>EFPN</t>
  </si>
  <si>
    <t>EFPU</t>
  </si>
  <si>
    <t>EFPY</t>
  </si>
  <si>
    <t>EFRA</t>
  </si>
  <si>
    <t>EFRH</t>
  </si>
  <si>
    <t>EFRN</t>
  </si>
  <si>
    <t>EFRO</t>
  </si>
  <si>
    <t>EFRU</t>
  </si>
  <si>
    <t>EFRV</t>
  </si>
  <si>
    <t>EFSA</t>
  </si>
  <si>
    <t>EFSE</t>
  </si>
  <si>
    <t>EFSI</t>
  </si>
  <si>
    <t>EFSO</t>
  </si>
  <si>
    <t>EFSU</t>
  </si>
  <si>
    <t>EFTO</t>
  </si>
  <si>
    <t>EFTP</t>
  </si>
  <si>
    <t>EFTS</t>
  </si>
  <si>
    <t>EFTU</t>
  </si>
  <si>
    <t>EFUT</t>
  </si>
  <si>
    <t>EFVA</t>
  </si>
  <si>
    <t>EFVI</t>
  </si>
  <si>
    <t>EFVL</t>
  </si>
  <si>
    <t>EFVR</t>
  </si>
  <si>
    <t>EFVT</t>
  </si>
  <si>
    <t>EFVU</t>
  </si>
  <si>
    <t>EFWB</t>
  </si>
  <si>
    <t>EFYL</t>
  </si>
  <si>
    <t>KOKKOLA-PIETARSA</t>
  </si>
  <si>
    <t>KOTI</t>
  </si>
  <si>
    <t>OHKO</t>
  </si>
  <si>
    <t>Lentoaika:</t>
  </si>
  <si>
    <t>Nimi</t>
  </si>
  <si>
    <t>N [dec]</t>
  </si>
  <si>
    <t>N [min]</t>
  </si>
  <si>
    <t>E [dec]</t>
  </si>
  <si>
    <t>E [min]</t>
  </si>
  <si>
    <t>Kommentti</t>
  </si>
  <si>
    <t>P-E</t>
  </si>
  <si>
    <t>keskiast.</t>
  </si>
  <si>
    <t>Etäisyys P - E</t>
  </si>
  <si>
    <t>[km]</t>
  </si>
  <si>
    <t>Matka/min</t>
  </si>
  <si>
    <t>Reittipist.</t>
  </si>
  <si>
    <t>välimatka</t>
  </si>
  <si>
    <t>Kulma</t>
  </si>
  <si>
    <t>Korjattu</t>
  </si>
  <si>
    <t>EKS</t>
  </si>
  <si>
    <t>Rivi</t>
  </si>
  <si>
    <t>nro</t>
  </si>
  <si>
    <t>Etäisyys I - L</t>
  </si>
  <si>
    <t>[km/h]</t>
  </si>
  <si>
    <t>N deg</t>
  </si>
  <si>
    <t>E deg</t>
  </si>
  <si>
    <t>[deg]</t>
  </si>
  <si>
    <t>[l]</t>
  </si>
  <si>
    <t>Matka/</t>
  </si>
  <si>
    <t>Taajuus</t>
  </si>
  <si>
    <t>AHMOSUO</t>
  </si>
  <si>
    <t>KAJAANI</t>
  </si>
  <si>
    <t>KEMIJÄRVI</t>
  </si>
  <si>
    <t>KALAJOKI</t>
  </si>
  <si>
    <t>KÄRSÄMÄKI</t>
  </si>
  <si>
    <t>KUUSAMO</t>
  </si>
  <si>
    <t>KITTILÄ</t>
  </si>
  <si>
    <t>KUOPIO</t>
  </si>
  <si>
    <t>KIVIJÄRVI</t>
  </si>
  <si>
    <t>KYMI</t>
  </si>
  <si>
    <t>LAHTI-VESIVEHMAA</t>
  </si>
  <si>
    <t>LIEKSA-NURMES</t>
  </si>
  <si>
    <t>LAPPEENRANTA</t>
  </si>
  <si>
    <t>MENKIJÄRVI</t>
  </si>
  <si>
    <t>MIKKELI</t>
  </si>
  <si>
    <t>MÄNTSÄLÄ</t>
  </si>
  <si>
    <t>MARTINIISKONPALO</t>
  </si>
  <si>
    <t>NUMMELA</t>
  </si>
  <si>
    <t>ORIPÄÄ</t>
  </si>
  <si>
    <t>OULU</t>
  </si>
  <si>
    <t>POKKA</t>
  </si>
  <si>
    <t>PIIKAJÄRVI</t>
  </si>
  <si>
    <t>PIEKSÄMÄKI</t>
  </si>
  <si>
    <t>PUNKAHARJU</t>
  </si>
  <si>
    <t>PORI</t>
  </si>
  <si>
    <t>PUDASJÄRVI</t>
  </si>
  <si>
    <t>PYHÄSALMI</t>
  </si>
  <si>
    <t>RAUTAVAARA</t>
  </si>
  <si>
    <t>RANTASALMI</t>
  </si>
  <si>
    <t>ROVANIEMI</t>
  </si>
  <si>
    <t>RANUA</t>
  </si>
  <si>
    <t>KIURUVESI</t>
  </si>
  <si>
    <t>RÄYSKÄLÄ</t>
  </si>
  <si>
    <t>SAVONLINNA</t>
  </si>
  <si>
    <t>SELÄNPÄÄ</t>
  </si>
  <si>
    <t>SEINÄJOKI</t>
  </si>
  <si>
    <t>SODANKYLÄ</t>
  </si>
  <si>
    <t>SUOMUSSALMI</t>
  </si>
  <si>
    <t>TORBACKA</t>
  </si>
  <si>
    <t>TAMPERE-PIRKKALA</t>
  </si>
  <si>
    <t>TEISKO</t>
  </si>
  <si>
    <t>TURKU</t>
  </si>
  <si>
    <t>UTTI</t>
  </si>
  <si>
    <t>VAASA</t>
  </si>
  <si>
    <t>WREDEBY</t>
  </si>
  <si>
    <t>VIITASAARI</t>
  </si>
  <si>
    <t>VAALA</t>
  </si>
  <si>
    <t>VARKAUS</t>
  </si>
  <si>
    <t>SULKAHARJU</t>
  </si>
  <si>
    <t>VUOTSO</t>
  </si>
  <si>
    <t>YLIVIESKA</t>
  </si>
  <si>
    <t>MAARIANHAMINA</t>
  </si>
  <si>
    <t>Pa-kulutus matkalennolla</t>
  </si>
  <si>
    <t>Pa-kulutus lämmityskäytössä</t>
  </si>
  <si>
    <t>litraa/h</t>
  </si>
  <si>
    <t>TS</t>
  </si>
  <si>
    <t>Tietokanta</t>
  </si>
  <si>
    <t>Laskenta:</t>
  </si>
  <si>
    <t>LENTOSUUNNITELMA</t>
  </si>
  <si>
    <t>Nro</t>
  </si>
  <si>
    <t>Helsinki METEO</t>
  </si>
  <si>
    <t>Malmin tornin puhelinno</t>
  </si>
  <si>
    <t>09-82774040</t>
  </si>
  <si>
    <t>ATIS yleisesti</t>
  </si>
  <si>
    <t>Malmin ATIS puhelinno</t>
  </si>
  <si>
    <t>YLEINEN HÄTÄJAKSO</t>
  </si>
  <si>
    <t>09-82774034</t>
  </si>
  <si>
    <t>EFES, Tampere FIR</t>
  </si>
  <si>
    <t>lähestymisohjeita</t>
  </si>
  <si>
    <t>HÄMEENKYRO</t>
  </si>
  <si>
    <t>JÄMIJÄRVI</t>
  </si>
  <si>
    <t>JÄKALÄPÄÄ</t>
  </si>
  <si>
    <t>JYVÄSKYLÄ</t>
  </si>
  <si>
    <t>LAPINLAHTI</t>
  </si>
  <si>
    <t>123.400</t>
  </si>
  <si>
    <t>123.150</t>
  </si>
  <si>
    <t>122.650</t>
  </si>
  <si>
    <t>ver</t>
  </si>
  <si>
    <t>1.0</t>
  </si>
  <si>
    <t>pvm</t>
  </si>
  <si>
    <t>kommentti</t>
  </si>
  <si>
    <t>Ensimmäinen "julkaistu" versio koekäytön jälkeen</t>
  </si>
  <si>
    <t>1.1</t>
  </si>
  <si>
    <t>Lomakkeeseen lisätty radiotaajuuden pikavalintanumero radiotaajuuden alle</t>
  </si>
  <si>
    <t>EFGE</t>
  </si>
  <si>
    <t>GENBY (Dragsfjärd)</t>
  </si>
  <si>
    <t>MASTEN</t>
  </si>
  <si>
    <t>BARKARBYN MASTO</t>
  </si>
  <si>
    <t>VAMPULA</t>
  </si>
  <si>
    <t>KANNISTO</t>
  </si>
  <si>
    <t>ISOJÄRVI</t>
  </si>
  <si>
    <t>DEGER (EFHF)</t>
  </si>
  <si>
    <t>HAGIS (EFHK)</t>
  </si>
  <si>
    <t>HAKKI (EFHF)</t>
  </si>
  <si>
    <t>KOLIS (EFHK)</t>
  </si>
  <si>
    <t>LILJA (EFHK)</t>
  </si>
  <si>
    <t>LINTU (EFHK)</t>
  </si>
  <si>
    <t>NIINI (EFSI)</t>
  </si>
  <si>
    <t>NOKKA (EFHF)</t>
  </si>
  <si>
    <t>OSIKO (EFVR)</t>
  </si>
  <si>
    <t>EFVP</t>
  </si>
  <si>
    <t>HAKKI (EFHK)</t>
  </si>
  <si>
    <t>HYVINKÄÄ</t>
  </si>
  <si>
    <t>PIRKKALA</t>
  </si>
  <si>
    <t>AFIS 122.450</t>
  </si>
  <si>
    <t>ATIS</t>
  </si>
  <si>
    <t>Taajuus 1</t>
  </si>
  <si>
    <t>APP 124.550</t>
  </si>
  <si>
    <t>TWR 131.250</t>
  </si>
  <si>
    <t>Taajuus 2</t>
  </si>
  <si>
    <t>GND 121.600</t>
  </si>
  <si>
    <t>ATIS 122.700</t>
  </si>
  <si>
    <t>TWR 118.600</t>
  </si>
  <si>
    <t>APP 119.100</t>
  </si>
  <si>
    <t>ATIS 135.075</t>
  </si>
  <si>
    <t>TWR/AFIS 118.000</t>
  </si>
  <si>
    <t>ATIS 123.200</t>
  </si>
  <si>
    <t>TWR 120.900</t>
  </si>
  <si>
    <t>TWR 118.000</t>
  </si>
  <si>
    <t>APP 127.000</t>
  </si>
  <si>
    <t>ATIS 134.150</t>
  </si>
  <si>
    <t>AFIS 118.100</t>
  </si>
  <si>
    <t>TWR 122.800</t>
  </si>
  <si>
    <t>APP 130.100</t>
  </si>
  <si>
    <t>ATIS 112.400</t>
  </si>
  <si>
    <t>TWR 119.400</t>
  </si>
  <si>
    <t>ATIS 123.150</t>
  </si>
  <si>
    <t>KUMKLINGE</t>
  </si>
  <si>
    <t>AFIS 122.800</t>
  </si>
  <si>
    <t>TWR 120.100</t>
  </si>
  <si>
    <t>TWR 120.150</t>
  </si>
  <si>
    <t>APP 130.600</t>
  </si>
  <si>
    <t>ATIS 113.000</t>
  </si>
  <si>
    <t>AFIS 120.400</t>
  </si>
  <si>
    <t>TWR 120.200</t>
  </si>
  <si>
    <t>TWR 119.600</t>
  </si>
  <si>
    <t>ATIS 114.700</t>
  </si>
  <si>
    <t>AFIS 123.000</t>
  </si>
  <si>
    <t>ATIS 118.250</t>
  </si>
  <si>
    <t>TWR 124.400</t>
  </si>
  <si>
    <t>ATIS 135.450</t>
  </si>
  <si>
    <t>TWR 118.700</t>
  </si>
  <si>
    <t>APP 129.900</t>
  </si>
  <si>
    <t>ATIS 117.700</t>
  </si>
  <si>
    <t>AFIS 118.800</t>
  </si>
  <si>
    <t>AFIS 123.600</t>
  </si>
  <si>
    <t>AFIS 123.400</t>
  </si>
  <si>
    <t>APP 126.200</t>
  </si>
  <si>
    <t>ATIS 133.550</t>
  </si>
  <si>
    <t>TWR 118.300</t>
  </si>
  <si>
    <t>ATIS 130.050</t>
  </si>
  <si>
    <t>TWR 130.800</t>
  </si>
  <si>
    <t>TWR 119.300</t>
  </si>
  <si>
    <t>AFIS 122.500</t>
  </si>
  <si>
    <t>EFHJ</t>
  </si>
  <si>
    <t>EFKN</t>
  </si>
  <si>
    <t>123.450</t>
  </si>
  <si>
    <t>ISOJÄRVI MÄNTSÄLÄ</t>
  </si>
  <si>
    <t>TWR 128.900</t>
  </si>
  <si>
    <t>123.500</t>
  </si>
  <si>
    <t>123.550</t>
  </si>
  <si>
    <t>123.600</t>
  </si>
  <si>
    <t>122.500</t>
  </si>
  <si>
    <t>123.650</t>
  </si>
  <si>
    <t>118.450</t>
  </si>
  <si>
    <t>123.200</t>
  </si>
  <si>
    <t>121.600</t>
  </si>
  <si>
    <t>AFIS 118.000</t>
  </si>
  <si>
    <t>1.2</t>
  </si>
  <si>
    <t>Tietokanta päivitetty ajantasalle AIPin, avulla</t>
  </si>
  <si>
    <t>Lisätty toinen radiotaajuus, lähestymislennonjohto tai rullaus</t>
  </si>
  <si>
    <t>Lisätty ATIS-taajuus</t>
  </si>
  <si>
    <t>Poistettu painolaskelma -&gt; saatu yleispätevämpi monille konetyypeille</t>
  </si>
  <si>
    <t>Poistettu C42 tuulitaulukko -&gt; saatu yleispätevämpi monille konetyypeille</t>
  </si>
  <si>
    <t>ASETUKSIA</t>
  </si>
  <si>
    <t>LÄHTEVÄ LIIKENNE</t>
  </si>
  <si>
    <t>SAAPUVA LIIKENNE</t>
  </si>
  <si>
    <t>TAAJUUKSIA JA PUHELINNUMEROITA</t>
  </si>
  <si>
    <t>Lisätty "ASETUKSET" -valinta lomakkeen oikeaan yläosaan</t>
  </si>
  <si>
    <t>Poistettu lentokorkeus sarake</t>
  </si>
  <si>
    <t>Visuaalinta "jouhevuutta" pyritty lisäämään</t>
  </si>
  <si>
    <t>knots</t>
  </si>
  <si>
    <t>km/h</t>
  </si>
  <si>
    <t>ylös</t>
  </si>
  <si>
    <t>alas</t>
  </si>
  <si>
    <t>pikav.</t>
  </si>
  <si>
    <t>HAAPAJÄRVI</t>
  </si>
  <si>
    <t>EFNS</t>
  </si>
  <si>
    <t>SAVIKKO</t>
  </si>
  <si>
    <t>Koordinaatti N</t>
  </si>
  <si>
    <t>Koordinaatti E</t>
  </si>
  <si>
    <t>KARPI</t>
  </si>
  <si>
    <t>MONNI (EFSA)</t>
  </si>
  <si>
    <t>MURTO (EFKI)</t>
  </si>
  <si>
    <t>SULKA (EFSA)</t>
  </si>
  <si>
    <t>ENONTEKIÖ</t>
  </si>
  <si>
    <t>KANNUS</t>
  </si>
  <si>
    <t>ATIS 123.625</t>
  </si>
  <si>
    <t>ATIS 122.425</t>
  </si>
  <si>
    <t>RAAHE-PATTIJOKI</t>
  </si>
  <si>
    <t>1.3</t>
  </si>
  <si>
    <t>Koordinaattijärjestelmä muutettu:</t>
  </si>
  <si>
    <t>Ennen: kulmasekunnit kulmaminuutin desimaaliosina</t>
  </si>
  <si>
    <t>Uusi: ddmmss -järjestelmä</t>
  </si>
  <si>
    <t>-&gt; helpompi päivitettävyys tulevaisuudessa</t>
  </si>
  <si>
    <t>HAUHO Iloranta</t>
  </si>
  <si>
    <t>NUMMIJÄRVI</t>
  </si>
  <si>
    <t>NARVIJÄRVI</t>
  </si>
  <si>
    <t>NARVI, LAPPI TL</t>
  </si>
  <si>
    <t>TUORLA</t>
  </si>
  <si>
    <t>TWR 119.250</t>
  </si>
  <si>
    <t>AFIS 118.650</t>
  </si>
  <si>
    <t>ATIS 134.825</t>
  </si>
  <si>
    <t>ATIS 125.025</t>
  </si>
  <si>
    <t>AFIS 118.950</t>
  </si>
  <si>
    <t>ATIS 133.850</t>
  </si>
  <si>
    <t>ATIS 128.325</t>
  </si>
  <si>
    <t>KESAG</t>
  </si>
  <si>
    <t>RAJANYLITYS</t>
  </si>
  <si>
    <t>KESUN</t>
  </si>
  <si>
    <t>KOLUP</t>
  </si>
  <si>
    <t>KUGIT</t>
  </si>
  <si>
    <t>LIRVO</t>
  </si>
  <si>
    <t>MOVUK</t>
  </si>
  <si>
    <t>PABVO</t>
  </si>
  <si>
    <t>PELOP</t>
  </si>
  <si>
    <t>PUOLI (EFET)</t>
  </si>
  <si>
    <t>ROTUS</t>
  </si>
  <si>
    <t>TALVA (EFET)</t>
  </si>
  <si>
    <t>TERMI (EFET)</t>
  </si>
  <si>
    <t>UTESI</t>
  </si>
  <si>
    <t>HERNESAARI</t>
  </si>
  <si>
    <t>JORVIN SAIRAALA</t>
  </si>
  <si>
    <t>EFHE (heli)</t>
  </si>
  <si>
    <t>EFEJ (heli)</t>
  </si>
  <si>
    <t>1.4</t>
  </si>
  <si>
    <t>M.G</t>
  </si>
  <si>
    <t>KYNSI (EFJY)</t>
  </si>
  <si>
    <t>LAAJA (EFJY)</t>
  </si>
  <si>
    <t>MUURA (EFJY)</t>
  </si>
  <si>
    <t>LAHTIs</t>
  </si>
  <si>
    <t>LAHTI kaupunki</t>
  </si>
  <si>
    <t>Datum</t>
  </si>
  <si>
    <t>WGS84</t>
  </si>
  <si>
    <t>WP</t>
  </si>
  <si>
    <t>D</t>
  </si>
  <si>
    <t>tiedotus (_____), QNH (___________), rullausohjeita</t>
  </si>
  <si>
    <t>Malmin rullaus; Oscar Hotel Uniform (_______);</t>
  </si>
  <si>
    <t>Oscar (______), VFR matkalento (__________) kautta;</t>
  </si>
  <si>
    <t>Päätetään lentosuunnitelma (_____________),</t>
  </si>
  <si>
    <t>Malmin torni; Oscar Hotel Uniform (_______);</t>
  </si>
  <si>
    <t>olen (____________) tasalla arvio Degeriin (___)min;</t>
  </si>
  <si>
    <t>toimii (_____) tuntia;</t>
  </si>
  <si>
    <t>tiedotus (_____), QNH (___________)</t>
  </si>
  <si>
    <t>lentoaika (______)min, toimii (______) tuntia;</t>
  </si>
  <si>
    <t>PADASJ</t>
  </si>
  <si>
    <t>PADASJOKI SATAMA</t>
  </si>
  <si>
    <t>Jyväskylän ilmoittautumispaikat ja nimet muuttuneet.</t>
  </si>
  <si>
    <t>Radion pikavalintoja muutettu.</t>
  </si>
  <si>
    <t>MG</t>
  </si>
  <si>
    <t>1.5</t>
  </si>
  <si>
    <t>PIKA-</t>
  </si>
  <si>
    <t>VALINTA</t>
  </si>
  <si>
    <t>TAAJUUS</t>
  </si>
  <si>
    <t>NUMERO</t>
  </si>
  <si>
    <t>TYHJÄ</t>
  </si>
  <si>
    <t>HUOM!</t>
  </si>
  <si>
    <t>TUNNUS</t>
  </si>
  <si>
    <t>OH-Uxx6</t>
  </si>
  <si>
    <t>OH-Uxx7</t>
  </si>
  <si>
    <t>OH-Uxx8</t>
  </si>
  <si>
    <t>OH-Uxx9</t>
  </si>
  <si>
    <t>OH-Ux10</t>
  </si>
  <si>
    <t>OH-Ux11</t>
  </si>
  <si>
    <t>OH-Ux12</t>
  </si>
  <si>
    <t>OH-Ux13</t>
  </si>
  <si>
    <t>OH-Ux14</t>
  </si>
  <si>
    <t>OH-Ux15</t>
  </si>
  <si>
    <t>OH-Ux16</t>
  </si>
  <si>
    <t>OH-Ux17</t>
  </si>
  <si>
    <t>OH-Ux18</t>
  </si>
  <si>
    <t>OH-Ux19</t>
  </si>
  <si>
    <t>EKSYMÄ</t>
  </si>
  <si>
    <t>TAULUKKO ON LAJITELTAVA TAAJUUS-</t>
  </si>
  <si>
    <t>SARAKKEEN KASVAVAAN JÄRJESTYKSEEN</t>
  </si>
  <si>
    <t>MAGNEETTINEN SUUNTA</t>
  </si>
  <si>
    <t>Punnitustiedot</t>
  </si>
  <si>
    <t>massa</t>
  </si>
  <si>
    <t>[kg]</t>
  </si>
  <si>
    <t>Tyhjä kone</t>
  </si>
  <si>
    <t>[mm]</t>
  </si>
  <si>
    <t>mom-varsi</t>
  </si>
  <si>
    <t>Miehistö</t>
  </si>
  <si>
    <t>Etutankki</t>
  </si>
  <si>
    <t>Takatankki</t>
  </si>
  <si>
    <t>Tavarat</t>
  </si>
  <si>
    <t>eturaja</t>
  </si>
  <si>
    <t>takaraja</t>
  </si>
  <si>
    <t>Sallittu painopistealue</t>
  </si>
  <si>
    <t>kg</t>
  </si>
  <si>
    <t>l</t>
  </si>
  <si>
    <t xml:space="preserve">ohjaaja (____________________), (____) henkeä, </t>
  </si>
  <si>
    <t>MASSALASKELMAT</t>
  </si>
  <si>
    <t>KONE:</t>
  </si>
  <si>
    <t>Miehistön massa:</t>
  </si>
  <si>
    <t>Etutankin polttoaine:</t>
  </si>
  <si>
    <t>Takatankin polttoaine:</t>
  </si>
  <si>
    <t>Matkatavarat:</t>
  </si>
  <si>
    <t>Massakeskiö:</t>
  </si>
  <si>
    <t>laskettu</t>
  </si>
  <si>
    <t>Laskelma 1</t>
  </si>
  <si>
    <t>Laskelma 2</t>
  </si>
  <si>
    <t>Kokonaismassa:</t>
  </si>
  <si>
    <t>KONEVALINTA:</t>
  </si>
  <si>
    <t>INDEX</t>
  </si>
  <si>
    <t>Eksymän aputaulukko</t>
  </si>
  <si>
    <t>Eksymätaulukko -painike muuttunut konedata -painikkeeksi</t>
  </si>
  <si>
    <t>Konevalinta alasvetovalikko lisätty, valitaan kone -&gt; konedata haetaan automaattisesti</t>
  </si>
  <si>
    <t>Massalaskelma osio lisättu lomakkeen alaosaan</t>
  </si>
  <si>
    <t>Konedata-välilehti perustettu</t>
  </si>
  <si>
    <t>Tietokannasta poistettu pikavalintasarake</t>
  </si>
  <si>
    <t>Pikavalintatiedoille perustettu oma välilehti -&gt; helpottaa jatkossa päivityksiä</t>
  </si>
  <si>
    <t>Garminin siirtoformaatti välilehti perustettu -&gt; helpottaa datan kopiointia Garmin GPS:ään</t>
  </si>
  <si>
    <t>Lisätty Datan syöttökenttiin pohjaväri</t>
  </si>
  <si>
    <t>Tuulirajat</t>
  </si>
  <si>
    <t>[knots]</t>
  </si>
  <si>
    <t>sivutuuli</t>
  </si>
  <si>
    <t>tuuli</t>
  </si>
  <si>
    <t>Maksimituuli</t>
  </si>
  <si>
    <t>Valitun koneen tuulirajat:</t>
  </si>
  <si>
    <t>Lisätty tuulirajojen valvonta, lähtötiedot konedatasta, animoidaan värimuutoksilla tuulisolussa</t>
  </si>
  <si>
    <t>KaPe</t>
  </si>
  <si>
    <t>03-2865172</t>
  </si>
  <si>
    <t>118.000</t>
  </si>
  <si>
    <t>118.100</t>
  </si>
  <si>
    <t>118.300</t>
  </si>
  <si>
    <t>118.600</t>
  </si>
  <si>
    <t>118.650</t>
  </si>
  <si>
    <t>118.700</t>
  </si>
  <si>
    <t>118.800</t>
  </si>
  <si>
    <t>118.950</t>
  </si>
  <si>
    <t>119.250</t>
  </si>
  <si>
    <t>119.300</t>
  </si>
  <si>
    <t>119.400</t>
  </si>
  <si>
    <t>119.600</t>
  </si>
  <si>
    <t>119.700</t>
  </si>
  <si>
    <t>120.100</t>
  </si>
  <si>
    <t>120.150</t>
  </si>
  <si>
    <t>120.200</t>
  </si>
  <si>
    <t>120.400</t>
  </si>
  <si>
    <t>120.900</t>
  </si>
  <si>
    <t>121.300</t>
  </si>
  <si>
    <t>121.500</t>
  </si>
  <si>
    <t>122.450</t>
  </si>
  <si>
    <t>122.700</t>
  </si>
  <si>
    <t>122.800</t>
  </si>
  <si>
    <t>123.000</t>
  </si>
  <si>
    <t>123.850</t>
  </si>
  <si>
    <t>124.200</t>
  </si>
  <si>
    <t>124.400</t>
  </si>
  <si>
    <t>126.200</t>
  </si>
  <si>
    <t>127.000</t>
  </si>
  <si>
    <t>127.100</t>
  </si>
  <si>
    <t>128.900</t>
  </si>
  <si>
    <t>129.900</t>
  </si>
  <si>
    <t>130.100</t>
  </si>
  <si>
    <t>130.600</t>
  </si>
  <si>
    <t>130.800</t>
  </si>
  <si>
    <t>131.250</t>
  </si>
  <si>
    <t>132.325</t>
  </si>
  <si>
    <t>132.675</t>
  </si>
  <si>
    <t>135.525</t>
  </si>
  <si>
    <t>(texti, ero-</t>
  </si>
  <si>
    <t>tin = piste)</t>
  </si>
  <si>
    <t>nimi</t>
  </si>
  <si>
    <t>122.100</t>
  </si>
  <si>
    <t>ATIS 122.625</t>
  </si>
  <si>
    <t>Korjattu tietokantaan linkitys</t>
  </si>
  <si>
    <t>Muutettu kenttien taajuudet tietokannassa vastamaan uusimman AIP:n tietoja</t>
  </si>
  <si>
    <t>x</t>
  </si>
  <si>
    <t>MLS</t>
  </si>
  <si>
    <t>Maksimi</t>
  </si>
  <si>
    <t>maks massa apu</t>
  </si>
  <si>
    <t>1.7.1</t>
  </si>
  <si>
    <t>Lisätty koneen maksimimassa konetietoihin</t>
  </si>
  <si>
    <t>Korjattu tuulilaskenta toimimaan myös suurilla sivutuulilla. Tuuli nyt oikein magneettisena suuntana.</t>
  </si>
  <si>
    <t>tuulirajat (hakufunktio) lomakesivulla  korjattu</t>
  </si>
  <si>
    <t>Korkeus</t>
  </si>
  <si>
    <t>14/32</t>
  </si>
  <si>
    <t>[m]</t>
  </si>
  <si>
    <t>Suunnat</t>
  </si>
  <si>
    <t>Kiitotie</t>
  </si>
  <si>
    <t>900x30</t>
  </si>
  <si>
    <t>800x23</t>
  </si>
  <si>
    <t>750x18</t>
  </si>
  <si>
    <t>12/30</t>
  </si>
  <si>
    <t>08/26</t>
  </si>
  <si>
    <t>11/29</t>
  </si>
  <si>
    <t>800x18</t>
  </si>
  <si>
    <t>04/22</t>
  </si>
  <si>
    <t>820X32</t>
  </si>
  <si>
    <t>07/25</t>
  </si>
  <si>
    <t>530X12</t>
  </si>
  <si>
    <t>05/23</t>
  </si>
  <si>
    <t>830X18</t>
  </si>
  <si>
    <t>06/24</t>
  </si>
  <si>
    <t>500X15</t>
  </si>
  <si>
    <t>03/21</t>
  </si>
  <si>
    <t>1600X18</t>
  </si>
  <si>
    <t>Kiitotie1</t>
  </si>
  <si>
    <t>Kiitotie2</t>
  </si>
  <si>
    <t>Pituus1</t>
  </si>
  <si>
    <t>Pituus2</t>
  </si>
  <si>
    <t>790x15</t>
  </si>
  <si>
    <t>1260x18</t>
  </si>
  <si>
    <t>950x18</t>
  </si>
  <si>
    <t>17/35</t>
  </si>
  <si>
    <t>660x18</t>
  </si>
  <si>
    <t>01/19</t>
  </si>
  <si>
    <t>09/27</t>
  </si>
  <si>
    <t>1090x23</t>
  </si>
  <si>
    <t>1300x15</t>
  </si>
  <si>
    <t>15/33</t>
  </si>
  <si>
    <t>830x18</t>
  </si>
  <si>
    <t>830x15</t>
  </si>
  <si>
    <t>1200x30</t>
  </si>
  <si>
    <t>700x18</t>
  </si>
  <si>
    <t>1160x23</t>
  </si>
  <si>
    <t>1400x23</t>
  </si>
  <si>
    <t>18/36</t>
  </si>
  <si>
    <t>10/28</t>
  </si>
  <si>
    <t>930x15</t>
  </si>
  <si>
    <t>600x15</t>
  </si>
  <si>
    <t>1500x30</t>
  </si>
  <si>
    <t>840x18</t>
  </si>
  <si>
    <t>900x23</t>
  </si>
  <si>
    <t>850x15</t>
  </si>
  <si>
    <t>600x18</t>
  </si>
  <si>
    <t>16/34</t>
  </si>
  <si>
    <t>700x10</t>
  </si>
  <si>
    <t>550x23</t>
  </si>
  <si>
    <t>340x15</t>
  </si>
  <si>
    <t>940x18</t>
  </si>
  <si>
    <t>1200x22</t>
  </si>
  <si>
    <t>400x18</t>
  </si>
  <si>
    <t>1200x18</t>
  </si>
  <si>
    <t>900x10</t>
  </si>
  <si>
    <t>940x16</t>
  </si>
  <si>
    <t>740x18</t>
  </si>
  <si>
    <t>1000x18</t>
  </si>
  <si>
    <t>1080x18</t>
  </si>
  <si>
    <t>2000x45</t>
  </si>
  <si>
    <t>500x15</t>
  </si>
  <si>
    <t>1000x20</t>
  </si>
  <si>
    <t>740x23</t>
  </si>
  <si>
    <t>1200x23</t>
  </si>
  <si>
    <t>1230x23</t>
  </si>
  <si>
    <t>08R/26L</t>
  </si>
  <si>
    <t>12L/30R</t>
  </si>
  <si>
    <t>1020x18</t>
  </si>
  <si>
    <t>1270x18</t>
  </si>
  <si>
    <t>440x23</t>
  </si>
  <si>
    <t>1100x15</t>
  </si>
  <si>
    <t>1000x15</t>
  </si>
  <si>
    <t>740x19</t>
  </si>
  <si>
    <t>800x15</t>
  </si>
  <si>
    <t>360x15</t>
  </si>
  <si>
    <t>10x28</t>
  </si>
  <si>
    <t>900x20</t>
  </si>
  <si>
    <t>290x25</t>
  </si>
  <si>
    <t>740x20</t>
  </si>
  <si>
    <t>420x50</t>
  </si>
  <si>
    <t>390x50</t>
  </si>
  <si>
    <t>350x40</t>
  </si>
  <si>
    <t>360x40</t>
  </si>
  <si>
    <t>600x20</t>
  </si>
  <si>
    <t>2001x45</t>
  </si>
  <si>
    <t>2601x60</t>
  </si>
  <si>
    <t>1340x30</t>
  </si>
  <si>
    <t>1024x30</t>
  </si>
  <si>
    <t>04/22 R&amp;L</t>
  </si>
  <si>
    <t>2901x60</t>
  </si>
  <si>
    <t>3060x60</t>
  </si>
  <si>
    <t>2499x45</t>
  </si>
  <si>
    <t>2500x52</t>
  </si>
  <si>
    <t>2700x60</t>
  </si>
  <si>
    <t>2503x48</t>
  </si>
  <si>
    <t>2499x48</t>
  </si>
  <si>
    <t>2500x60</t>
  </si>
  <si>
    <t>700x20</t>
  </si>
  <si>
    <t>2500x45</t>
  </si>
  <si>
    <t>2800x60</t>
  </si>
  <si>
    <t>vesi</t>
  </si>
  <si>
    <t>1903x60</t>
  </si>
  <si>
    <t>1702x44</t>
  </si>
  <si>
    <t>2501x60</t>
  </si>
  <si>
    <t>2351x60</t>
  </si>
  <si>
    <t>801x30</t>
  </si>
  <si>
    <t>2300x45</t>
  </si>
  <si>
    <t>2700x45</t>
  </si>
  <si>
    <t>2500x48</t>
  </si>
  <si>
    <t>3002x60</t>
  </si>
  <si>
    <t>Kork.</t>
  </si>
  <si>
    <t>Pit./lev.</t>
  </si>
  <si>
    <t>990x40</t>
  </si>
  <si>
    <t>1.7.2</t>
  </si>
  <si>
    <t>1.7.3</t>
  </si>
  <si>
    <t>Lisätty kenttien kiitoteiden suunnat, pituudet ja korkeudet. Poistettu arviokentät</t>
  </si>
  <si>
    <t>Tekijä</t>
  </si>
  <si>
    <t>Toma</t>
  </si>
  <si>
    <t>Aki</t>
  </si>
  <si>
    <t>korkeus_ft</t>
  </si>
  <si>
    <t>Kentän</t>
  </si>
  <si>
    <t>korkeus</t>
  </si>
  <si>
    <t>[ft}</t>
  </si>
  <si>
    <t>1.7.4</t>
  </si>
  <si>
    <t>Korjattu konversiovirhe NM ja km välillä, lisätty kentän korkeus nyt myös ft kun Knots, NM, ft on valittuna</t>
  </si>
  <si>
    <t>Lasku</t>
  </si>
  <si>
    <t>Lähtö</t>
  </si>
  <si>
    <t>1.7.5</t>
  </si>
  <si>
    <t>Korjattu Eeron Härmälän huomaama reittipisteiden sekä polttoainelaskelmissa lisäajan laskuvirhe</t>
  </si>
  <si>
    <t>KOIVI (EFKS)</t>
  </si>
  <si>
    <t>TWR 118.650</t>
  </si>
  <si>
    <t>KURKI (EFKS)</t>
  </si>
  <si>
    <t>NILON (EFKS)</t>
  </si>
  <si>
    <t>NISKA (EFKI)</t>
  </si>
  <si>
    <t>RUKAA (EFKS)</t>
  </si>
  <si>
    <t>SOTKA (EFKI)</t>
  </si>
  <si>
    <t>TWR 120.950</t>
  </si>
  <si>
    <t xml:space="preserve">SUINULA </t>
  </si>
  <si>
    <t>SUINULA</t>
  </si>
  <si>
    <t>PARKANO</t>
  </si>
  <si>
    <t>TWR  118.700</t>
  </si>
  <si>
    <t>ELLIVUORI</t>
  </si>
  <si>
    <t>UMMELJOKI</t>
  </si>
  <si>
    <t>ÄHTÄRI</t>
  </si>
  <si>
    <t>35/17</t>
  </si>
  <si>
    <t>478x12</t>
  </si>
  <si>
    <t>1000x25</t>
  </si>
  <si>
    <t xml:space="preserve"> 123.500</t>
  </si>
  <si>
    <t xml:space="preserve"> </t>
  </si>
  <si>
    <t>TWR  130.800</t>
  </si>
  <si>
    <t>HAMPI (EFIV)</t>
  </si>
  <si>
    <t>38.3</t>
  </si>
  <si>
    <t>59.9</t>
  </si>
  <si>
    <t>LAANI (EFIV)</t>
  </si>
  <si>
    <t>MAHLA (EFIV)</t>
  </si>
  <si>
    <t>49.2</t>
  </si>
  <si>
    <t>VASKI (EFIV)</t>
  </si>
  <si>
    <t>31.0</t>
  </si>
  <si>
    <t>49.1</t>
  </si>
  <si>
    <t>HAAVI (EFHA)</t>
  </si>
  <si>
    <t>59.6</t>
  </si>
  <si>
    <t>PIHLA (EFHA)</t>
  </si>
  <si>
    <t>44.7</t>
  </si>
  <si>
    <t>TALVI (EFHA)</t>
  </si>
  <si>
    <t>VILPU (EFHA)</t>
  </si>
  <si>
    <t>GALDO (EFET)</t>
  </si>
  <si>
    <t>HIRVA (EFET)</t>
  </si>
  <si>
    <t>JOHKA (EFET)</t>
  </si>
  <si>
    <t>KATKA (EFET)</t>
  </si>
  <si>
    <t>OUNAS (EFET)</t>
  </si>
  <si>
    <t>KONTI (EFJO)</t>
  </si>
  <si>
    <t>LIPPI (EFJO)</t>
  </si>
  <si>
    <t>POLVI (EFJO)</t>
  </si>
  <si>
    <t>HONKO /EFJY)</t>
  </si>
  <si>
    <t>KOTTA (EFJY)</t>
  </si>
  <si>
    <t>KUOHU (EFJY)</t>
  </si>
  <si>
    <t>KUUSA (EFJY)</t>
  </si>
  <si>
    <t>MAINU (EFKI)</t>
  </si>
  <si>
    <t>PALTA (EFKI)</t>
  </si>
  <si>
    <t>PEHKO (EFKI)</t>
  </si>
  <si>
    <t>RIMPI (EFKI)</t>
  </si>
  <si>
    <t>OUKKI (EFKE)</t>
  </si>
  <si>
    <t>ROLLO (EFKE)</t>
  </si>
  <si>
    <t>KENUS (EFKT)</t>
  </si>
  <si>
    <t>KUMPU (EFKT)</t>
  </si>
  <si>
    <t>LOUKI (EFKT)</t>
  </si>
  <si>
    <t>VAARA (EFKT)</t>
  </si>
  <si>
    <t>EMMET (EFKK)</t>
  </si>
  <si>
    <t>KALVI (EFKK)</t>
  </si>
  <si>
    <t>PEDER (EFKK)</t>
  </si>
  <si>
    <t>SUNDI (EFKK)</t>
  </si>
  <si>
    <t>KARJU (EFKU)</t>
  </si>
  <si>
    <t>KOKKO (EFKU)</t>
  </si>
  <si>
    <t>LAIVO (EFKU)</t>
  </si>
  <si>
    <t>MAANI (EFKU)</t>
  </si>
  <si>
    <t>MELAN (EFKU)</t>
  </si>
  <si>
    <t>AVELA (EFKS)</t>
  </si>
  <si>
    <t>KITKA (EFKS)</t>
  </si>
  <si>
    <t>POUSU (EFKS)</t>
  </si>
  <si>
    <t>RAITO (EFKS)</t>
  </si>
  <si>
    <t>HANNA (EFLP)</t>
  </si>
  <si>
    <t>KAITO (EFLP)</t>
  </si>
  <si>
    <t>KONTU (EFLP)</t>
  </si>
  <si>
    <t>LENSU (EFLP)</t>
  </si>
  <si>
    <t>BROON (EFMA)</t>
  </si>
  <si>
    <t>PRAST (EFMA)</t>
  </si>
  <si>
    <t>ASEMA (EFMI)</t>
  </si>
  <si>
    <t>LINKI (EFMI)</t>
  </si>
  <si>
    <t>RISTI (EFMI)</t>
  </si>
  <si>
    <t>SOLMU (EFMI)</t>
  </si>
  <si>
    <t>HAURU (EFOU)</t>
  </si>
  <si>
    <t>PILPA (EFOU)</t>
  </si>
  <si>
    <t>SIIKA (EFOU)</t>
  </si>
  <si>
    <t>TUIRA (EFOU)</t>
  </si>
  <si>
    <t>KULTA (EFPO)</t>
  </si>
  <si>
    <t>MALOP (EFPO)</t>
  </si>
  <si>
    <t>RAUTU (EFPO)</t>
  </si>
  <si>
    <t>SIRMA (EFPO)</t>
  </si>
  <si>
    <t>HEINU (EFRO)</t>
  </si>
  <si>
    <t>KUKSA (EFRO)</t>
  </si>
  <si>
    <t>ROSKA(EFRO)</t>
  </si>
  <si>
    <t>SONKA (EFRO)</t>
  </si>
  <si>
    <t>APAJA (EFSA)</t>
  </si>
  <si>
    <t>HANHI (EFSA)</t>
  </si>
  <si>
    <t>IKOIN (EFSA)</t>
  </si>
  <si>
    <t>KALLI (EFSA)</t>
  </si>
  <si>
    <t>JOKIP (EFSI)</t>
  </si>
  <si>
    <t>KOSSU (EFSI)</t>
  </si>
  <si>
    <t>KUORA (EFSI)</t>
  </si>
  <si>
    <t>NURMO (EFSI)</t>
  </si>
  <si>
    <t>PALLO (EFTP)</t>
  </si>
  <si>
    <t>PURSO (EFTP)</t>
  </si>
  <si>
    <t>VIILA (EFTP)</t>
  </si>
  <si>
    <t>HARVA (EFTU)</t>
  </si>
  <si>
    <t>KIHTI (EFTU)</t>
  </si>
  <si>
    <t>MANSE (EFTU)</t>
  </si>
  <si>
    <t>NOUSU (EFTU)</t>
  </si>
  <si>
    <t>HERMU (EFUT)</t>
  </si>
  <si>
    <t>HONKA(EFUT)</t>
  </si>
  <si>
    <t>LINJA (EFUT)</t>
  </si>
  <si>
    <t>ORAVA (EFUT)</t>
  </si>
  <si>
    <t>MINNE (EFVA)</t>
  </si>
  <si>
    <t>TERVA (EFVA)</t>
  </si>
  <si>
    <t>VASSO (EFVA)</t>
  </si>
  <si>
    <t>LAMPO (EFVR)</t>
  </si>
  <si>
    <t>MAAVU (EFVR)</t>
  </si>
  <si>
    <t>MANKI (EFVR)</t>
  </si>
  <si>
    <t>POIJI (EFVR)</t>
  </si>
  <si>
    <t>VEHMA (EFVR)</t>
  </si>
  <si>
    <t xml:space="preserve">     AFIS 120.400</t>
  </si>
  <si>
    <t>RASTI (EFHF)</t>
  </si>
  <si>
    <t xml:space="preserve">  TWR 120.900</t>
  </si>
  <si>
    <t>SUINI (EFKS)</t>
  </si>
  <si>
    <t>TWR 118.50</t>
  </si>
  <si>
    <t>RANBO (EFMA)</t>
  </si>
  <si>
    <t>TWR119.600</t>
  </si>
  <si>
    <t>KUONA (EFSA)</t>
  </si>
  <si>
    <t>ATIS 135.500</t>
  </si>
  <si>
    <t>ATIS 136.175</t>
  </si>
  <si>
    <t>ATIS 118.225</t>
  </si>
  <si>
    <t>ATIS 135.800</t>
  </si>
  <si>
    <t>ATIS 136.075</t>
  </si>
  <si>
    <t>ATIS 136.050</t>
  </si>
  <si>
    <t>ATIS 136.550</t>
  </si>
  <si>
    <t>ATIS 136.450</t>
  </si>
  <si>
    <t>ATIS 136.325</t>
  </si>
  <si>
    <t>SVEDU (EFKE)</t>
  </si>
  <si>
    <t>SUHMU (EFJO)</t>
  </si>
  <si>
    <t>VENHE (EFKT)</t>
  </si>
  <si>
    <t>Korjattu matkan pituus kentän kaava</t>
  </si>
  <si>
    <t>1.7.6</t>
  </si>
  <si>
    <t>1.7.7</t>
  </si>
  <si>
    <t>3.3,2015</t>
  </si>
  <si>
    <t>Korjattu vfr raportointipisteet ja taajuudet Mauri Gadd:in toimesta</t>
  </si>
  <si>
    <t>OH-1016</t>
  </si>
  <si>
    <t>OH-838</t>
  </si>
  <si>
    <t>OH-603</t>
  </si>
  <si>
    <t>OH-U434</t>
  </si>
  <si>
    <t>OH-U662</t>
  </si>
  <si>
    <t>OH-EPI</t>
  </si>
  <si>
    <t>Tekijä: kari.perala@phnet.fi. Modifioinut/päivittänyt: toma@ilmailu.org, aki, ojalehtoa@gmail.com</t>
  </si>
  <si>
    <t>1.7.8</t>
  </si>
  <si>
    <t>Antti</t>
  </si>
  <si>
    <t>Korjatttu solmunopeuksissa käytettyjä kaavoja</t>
  </si>
  <si>
    <t>VERSIO 1.7.8 (08.03.2015)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</si>
</sst>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000000000"/>
    <numFmt numFmtId="179" formatCode="0.000000000"/>
    <numFmt numFmtId="180" formatCode="0.00000000"/>
    <numFmt numFmtId="181" formatCode="00000"/>
    <numFmt numFmtId="182" formatCode="#\ &quot;m&quot;"/>
    <numFmt numFmtId="183" formatCode="#\ &quot;ft&quot;"/>
    <numFmt numFmtId="184" formatCode="???\ &quot;m&quot;"/>
    <numFmt numFmtId="185" formatCode="#.##0\ &quot;€&quot;"/>
    <numFmt numFmtId="186" formatCode="#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20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name val="Arial"/>
      <family val="2"/>
    </font>
    <font>
      <b/>
      <i/>
      <sz val="12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20"/>
      <color indexed="23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8" fillId="27" borderId="0" applyNumberFormat="0" applyBorder="0" applyAlignment="0" applyProtection="0"/>
    <xf numFmtId="0" fontId="14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2" applyNumberFormat="0" applyAlignment="0" applyProtection="0"/>
    <xf numFmtId="0" fontId="41" fillId="0" borderId="3" applyNumberFormat="0" applyFill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1" borderId="2" applyNumberFormat="0" applyAlignment="0" applyProtection="0"/>
    <xf numFmtId="0" fontId="50" fillId="32" borderId="8" applyNumberFormat="0" applyAlignment="0" applyProtection="0"/>
    <xf numFmtId="0" fontId="51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4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 horizontal="center"/>
    </xf>
    <xf numFmtId="175" fontId="0" fillId="0" borderId="0" xfId="0" applyNumberForma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5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175" fontId="0" fillId="0" borderId="15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/>
    </xf>
    <xf numFmtId="1" fontId="0" fillId="33" borderId="14" xfId="0" applyNumberFormat="1" applyFill="1" applyBorder="1" applyAlignment="1">
      <alignment horizontal="center"/>
    </xf>
    <xf numFmtId="0" fontId="0" fillId="0" borderId="19" xfId="0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17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>
      <alignment/>
    </xf>
    <xf numFmtId="14" fontId="0" fillId="0" borderId="0" xfId="0" applyNumberFormat="1" applyAlignment="1">
      <alignment horizontal="center"/>
    </xf>
    <xf numFmtId="14" fontId="0" fillId="0" borderId="21" xfId="0" applyNumberForma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Font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0" fillId="34" borderId="25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0" fillId="34" borderId="26" xfId="0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1" fontId="0" fillId="0" borderId="31" xfId="0" applyNumberFormat="1" applyFill="1" applyBorder="1" applyAlignment="1" applyProtection="1">
      <alignment horizontal="center"/>
      <protection/>
    </xf>
    <xf numFmtId="1" fontId="0" fillId="0" borderId="11" xfId="0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174" fontId="1" fillId="0" borderId="32" xfId="0" applyNumberFormat="1" applyFont="1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" fontId="0" fillId="0" borderId="0" xfId="0" applyNumberFormat="1" applyBorder="1" applyAlignment="1" applyProtection="1">
      <alignment horizontal="center"/>
      <protection/>
    </xf>
    <xf numFmtId="1" fontId="0" fillId="0" borderId="30" xfId="0" applyNumberForma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1" fontId="1" fillId="34" borderId="33" xfId="0" applyNumberFormat="1" applyFont="1" applyFill="1" applyBorder="1" applyAlignment="1" applyProtection="1">
      <alignment horizontal="center"/>
      <protection/>
    </xf>
    <xf numFmtId="1" fontId="0" fillId="0" borderId="12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12" xfId="0" applyFont="1" applyBorder="1" applyAlignment="1" applyProtection="1">
      <alignment horizontal="center"/>
      <protection/>
    </xf>
    <xf numFmtId="1" fontId="1" fillId="34" borderId="34" xfId="0" applyNumberFormat="1" applyFont="1" applyFill="1" applyBorder="1" applyAlignment="1" applyProtection="1">
      <alignment horizontal="left"/>
      <protection/>
    </xf>
    <xf numFmtId="0" fontId="0" fillId="0" borderId="35" xfId="0" applyBorder="1" applyAlignment="1" applyProtection="1">
      <alignment/>
      <protection/>
    </xf>
    <xf numFmtId="0" fontId="1" fillId="34" borderId="36" xfId="0" applyFont="1" applyFill="1" applyBorder="1" applyAlignment="1" applyProtection="1">
      <alignment/>
      <protection/>
    </xf>
    <xf numFmtId="174" fontId="1" fillId="0" borderId="24" xfId="0" applyNumberFormat="1" applyFont="1" applyFill="1" applyBorder="1" applyAlignment="1" applyProtection="1">
      <alignment horizontal="center"/>
      <protection/>
    </xf>
    <xf numFmtId="0" fontId="0" fillId="0" borderId="37" xfId="0" applyFont="1" applyBorder="1" applyAlignment="1" applyProtection="1">
      <alignment/>
      <protection/>
    </xf>
    <xf numFmtId="174" fontId="1" fillId="0" borderId="38" xfId="0" applyNumberFormat="1" applyFont="1" applyFill="1" applyBorder="1" applyAlignment="1" applyProtection="1">
      <alignment horizontal="center"/>
      <protection/>
    </xf>
    <xf numFmtId="1" fontId="0" fillId="0" borderId="37" xfId="0" applyNumberForma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/>
      <protection/>
    </xf>
    <xf numFmtId="0" fontId="1" fillId="34" borderId="36" xfId="0" applyFont="1" applyFill="1" applyBorder="1" applyAlignment="1" applyProtection="1">
      <alignment horizontal="left"/>
      <protection/>
    </xf>
    <xf numFmtId="0" fontId="0" fillId="34" borderId="24" xfId="0" applyFill="1" applyBorder="1" applyAlignment="1" applyProtection="1">
      <alignment horizontal="left"/>
      <protection/>
    </xf>
    <xf numFmtId="0" fontId="0" fillId="34" borderId="25" xfId="0" applyFill="1" applyBorder="1" applyAlignment="1" applyProtection="1">
      <alignment horizontal="left"/>
      <protection/>
    </xf>
    <xf numFmtId="0" fontId="0" fillId="0" borderId="0" xfId="0" applyAlignment="1" applyProtection="1">
      <alignment horizontal="left" indent="15"/>
      <protection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0" borderId="30" xfId="0" applyFont="1" applyFill="1" applyBorder="1" applyAlignment="1" applyProtection="1">
      <alignment horizontal="center" vertical="top"/>
      <protection/>
    </xf>
    <xf numFmtId="0" fontId="0" fillId="0" borderId="14" xfId="0" applyFont="1" applyFill="1" applyBorder="1" applyAlignment="1" applyProtection="1">
      <alignment horizontal="center" vertical="top"/>
      <protection/>
    </xf>
    <xf numFmtId="1" fontId="1" fillId="35" borderId="39" xfId="0" applyNumberFormat="1" applyFont="1" applyFill="1" applyBorder="1" applyAlignment="1" applyProtection="1">
      <alignment horizontal="center" vertical="top"/>
      <protection/>
    </xf>
    <xf numFmtId="1" fontId="0" fillId="35" borderId="39" xfId="0" applyNumberFormat="1" applyFont="1" applyFill="1" applyBorder="1" applyAlignment="1" applyProtection="1">
      <alignment horizontal="center" vertical="top"/>
      <protection/>
    </xf>
    <xf numFmtId="1" fontId="1" fillId="35" borderId="37" xfId="0" applyNumberFormat="1" applyFont="1" applyFill="1" applyBorder="1" applyAlignment="1" applyProtection="1">
      <alignment horizontal="center" vertical="top"/>
      <protection/>
    </xf>
    <xf numFmtId="1" fontId="0" fillId="35" borderId="37" xfId="0" applyNumberFormat="1" applyFont="1" applyFill="1" applyBorder="1" applyAlignment="1" applyProtection="1">
      <alignment horizontal="center" vertical="top"/>
      <protection/>
    </xf>
    <xf numFmtId="1" fontId="1" fillId="35" borderId="40" xfId="0" applyNumberFormat="1" applyFont="1" applyFill="1" applyBorder="1" applyAlignment="1" applyProtection="1">
      <alignment horizontal="center" vertical="top"/>
      <protection/>
    </xf>
    <xf numFmtId="1" fontId="0" fillId="35" borderId="38" xfId="0" applyNumberFormat="1" applyFont="1" applyFill="1" applyBorder="1" applyAlignment="1" applyProtection="1">
      <alignment horizontal="center" vertical="top"/>
      <protection/>
    </xf>
    <xf numFmtId="1" fontId="1" fillId="35" borderId="38" xfId="0" applyNumberFormat="1" applyFont="1" applyFill="1" applyBorder="1" applyAlignment="1" applyProtection="1">
      <alignment horizontal="center" vertical="top"/>
      <protection/>
    </xf>
    <xf numFmtId="1" fontId="1" fillId="35" borderId="41" xfId="0" applyNumberFormat="1" applyFont="1" applyFill="1" applyBorder="1" applyAlignment="1" applyProtection="1">
      <alignment horizontal="center" vertical="top"/>
      <protection/>
    </xf>
    <xf numFmtId="0" fontId="0" fillId="35" borderId="37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1" fontId="1" fillId="35" borderId="27" xfId="0" applyNumberFormat="1" applyFont="1" applyFill="1" applyBorder="1" applyAlignment="1" applyProtection="1">
      <alignment horizontal="center" vertical="top"/>
      <protection/>
    </xf>
    <xf numFmtId="1" fontId="1" fillId="35" borderId="30" xfId="0" applyNumberFormat="1" applyFont="1" applyFill="1" applyBorder="1" applyAlignment="1" applyProtection="1">
      <alignment horizontal="center" vertical="top"/>
      <protection/>
    </xf>
    <xf numFmtId="1" fontId="0" fillId="35" borderId="30" xfId="0" applyNumberFormat="1" applyFont="1" applyFill="1" applyBorder="1" applyAlignment="1" applyProtection="1">
      <alignment horizontal="center" vertical="top"/>
      <protection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Alignment="1" quotePrefix="1">
      <alignment/>
    </xf>
    <xf numFmtId="0" fontId="4" fillId="0" borderId="42" xfId="0" applyFont="1" applyBorder="1" applyAlignment="1">
      <alignment horizontal="left"/>
    </xf>
    <xf numFmtId="0" fontId="0" fillId="0" borderId="42" xfId="0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42" xfId="0" applyBorder="1" applyAlignment="1">
      <alignment/>
    </xf>
    <xf numFmtId="0" fontId="1" fillId="33" borderId="42" xfId="0" applyFont="1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42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2" xfId="0" applyFill="1" applyBorder="1" applyAlignment="1">
      <alignment horizontal="center"/>
    </xf>
    <xf numFmtId="175" fontId="0" fillId="34" borderId="42" xfId="0" applyNumberFormat="1" applyFill="1" applyBorder="1" applyAlignment="1">
      <alignment horizontal="center"/>
    </xf>
    <xf numFmtId="174" fontId="0" fillId="0" borderId="42" xfId="0" applyNumberFormat="1" applyBorder="1" applyAlignment="1">
      <alignment horizontal="center"/>
    </xf>
    <xf numFmtId="0" fontId="0" fillId="0" borderId="42" xfId="0" applyFill="1" applyBorder="1" applyAlignment="1">
      <alignment/>
    </xf>
    <xf numFmtId="175" fontId="0" fillId="0" borderId="42" xfId="0" applyNumberFormat="1" applyBorder="1" applyAlignment="1">
      <alignment horizontal="center"/>
    </xf>
    <xf numFmtId="0" fontId="0" fillId="34" borderId="42" xfId="0" applyFont="1" applyFill="1" applyBorder="1" applyAlignment="1">
      <alignment/>
    </xf>
    <xf numFmtId="22" fontId="0" fillId="0" borderId="42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4" xfId="0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0" fontId="0" fillId="0" borderId="14" xfId="0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6" fillId="34" borderId="46" xfId="0" applyFont="1" applyFill="1" applyBorder="1" applyAlignment="1">
      <alignment horizontal="center"/>
    </xf>
    <xf numFmtId="0" fontId="6" fillId="36" borderId="36" xfId="0" applyFont="1" applyFill="1" applyBorder="1" applyAlignment="1">
      <alignment/>
    </xf>
    <xf numFmtId="0" fontId="6" fillId="36" borderId="24" xfId="0" applyFont="1" applyFill="1" applyBorder="1" applyAlignment="1">
      <alignment/>
    </xf>
    <xf numFmtId="0" fontId="6" fillId="36" borderId="25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6" fillId="36" borderId="17" xfId="0" applyFont="1" applyFill="1" applyBorder="1" applyAlignment="1">
      <alignment/>
    </xf>
    <xf numFmtId="0" fontId="6" fillId="36" borderId="45" xfId="0" applyFont="1" applyFill="1" applyBorder="1" applyAlignment="1">
      <alignment/>
    </xf>
    <xf numFmtId="174" fontId="6" fillId="36" borderId="14" xfId="0" applyNumberFormat="1" applyFont="1" applyFill="1" applyBorder="1" applyAlignment="1">
      <alignment/>
    </xf>
    <xf numFmtId="0" fontId="6" fillId="36" borderId="14" xfId="0" applyFont="1" applyFill="1" applyBorder="1" applyAlignment="1">
      <alignment/>
    </xf>
    <xf numFmtId="0" fontId="6" fillId="36" borderId="2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0" xfId="0" applyAlignment="1">
      <alignment horizontal="right"/>
    </xf>
    <xf numFmtId="0" fontId="1" fillId="33" borderId="46" xfId="0" applyFont="1" applyFill="1" applyBorder="1" applyAlignment="1">
      <alignment horizontal="center"/>
    </xf>
    <xf numFmtId="0" fontId="1" fillId="0" borderId="20" xfId="0" applyFont="1" applyBorder="1" applyAlignment="1" applyProtection="1">
      <alignment horizontal="right"/>
      <protection/>
    </xf>
    <xf numFmtId="0" fontId="0" fillId="34" borderId="0" xfId="0" applyFill="1" applyBorder="1" applyAlignment="1" applyProtection="1">
      <alignment horizontal="left"/>
      <protection locked="0"/>
    </xf>
    <xf numFmtId="0" fontId="0" fillId="34" borderId="0" xfId="0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 horizontal="right"/>
      <protection locked="0"/>
    </xf>
    <xf numFmtId="0" fontId="1" fillId="34" borderId="36" xfId="0" applyFont="1" applyFill="1" applyBorder="1" applyAlignment="1" applyProtection="1">
      <alignment horizontal="left"/>
      <protection locked="0"/>
    </xf>
    <xf numFmtId="0" fontId="1" fillId="33" borderId="47" xfId="0" applyFont="1" applyFill="1" applyBorder="1" applyAlignment="1">
      <alignment horizontal="center"/>
    </xf>
    <xf numFmtId="0" fontId="1" fillId="33" borderId="48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 horizontal="center"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 horizontal="center"/>
    </xf>
    <xf numFmtId="0" fontId="0" fillId="34" borderId="50" xfId="0" applyFill="1" applyBorder="1" applyAlignment="1">
      <alignment/>
    </xf>
    <xf numFmtId="0" fontId="0" fillId="34" borderId="51" xfId="0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175" fontId="0" fillId="0" borderId="48" xfId="0" applyNumberFormat="1" applyBorder="1" applyAlignment="1">
      <alignment horizontal="center"/>
    </xf>
    <xf numFmtId="0" fontId="0" fillId="34" borderId="48" xfId="0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6" fillId="0" borderId="0" xfId="0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0" fontId="4" fillId="0" borderId="58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1" fontId="0" fillId="36" borderId="35" xfId="0" applyNumberFormat="1" applyFont="1" applyFill="1" applyBorder="1" applyAlignment="1" applyProtection="1">
      <alignment/>
      <protection locked="0"/>
    </xf>
    <xf numFmtId="0" fontId="0" fillId="36" borderId="35" xfId="0" applyFont="1" applyFill="1" applyBorder="1" applyAlignment="1" applyProtection="1">
      <alignment/>
      <protection locked="0"/>
    </xf>
    <xf numFmtId="0" fontId="0" fillId="36" borderId="43" xfId="0" applyFont="1" applyFill="1" applyBorder="1" applyAlignment="1" applyProtection="1">
      <alignment/>
      <protection locked="0"/>
    </xf>
    <xf numFmtId="0" fontId="0" fillId="36" borderId="35" xfId="0" applyFont="1" applyFill="1" applyBorder="1" applyAlignment="1" applyProtection="1">
      <alignment horizontal="right"/>
      <protection locked="0"/>
    </xf>
    <xf numFmtId="0" fontId="0" fillId="36" borderId="60" xfId="0" applyFill="1" applyBorder="1" applyAlignment="1" applyProtection="1">
      <alignment horizontal="right"/>
      <protection locked="0"/>
    </xf>
    <xf numFmtId="0" fontId="10" fillId="34" borderId="0" xfId="0" applyFont="1" applyFill="1" applyBorder="1" applyAlignment="1" applyProtection="1">
      <alignment horizontal="center"/>
      <protection locked="0"/>
    </xf>
    <xf numFmtId="0" fontId="1" fillId="36" borderId="35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center"/>
    </xf>
    <xf numFmtId="0" fontId="4" fillId="0" borderId="61" xfId="0" applyFont="1" applyBorder="1" applyAlignment="1">
      <alignment horizontal="left"/>
    </xf>
    <xf numFmtId="0" fontId="0" fillId="33" borderId="62" xfId="0" applyFill="1" applyBorder="1" applyAlignment="1">
      <alignment horizontal="center"/>
    </xf>
    <xf numFmtId="1" fontId="0" fillId="0" borderId="48" xfId="0" applyNumberFormat="1" applyBorder="1" applyAlignment="1">
      <alignment horizontal="center"/>
    </xf>
    <xf numFmtId="1" fontId="0" fillId="34" borderId="48" xfId="0" applyNumberFormat="1" applyFill="1" applyBorder="1" applyAlignment="1">
      <alignment horizontal="center"/>
    </xf>
    <xf numFmtId="1" fontId="0" fillId="34" borderId="50" xfId="0" applyNumberFormat="1" applyFill="1" applyBorder="1" applyAlignment="1">
      <alignment horizontal="center"/>
    </xf>
    <xf numFmtId="1" fontId="0" fillId="0" borderId="49" xfId="0" applyNumberFormat="1" applyBorder="1" applyAlignment="1">
      <alignment horizontal="center"/>
    </xf>
    <xf numFmtId="1" fontId="0" fillId="34" borderId="49" xfId="0" applyNumberFormat="1" applyFill="1" applyBorder="1" applyAlignment="1">
      <alignment horizontal="center"/>
    </xf>
    <xf numFmtId="1" fontId="0" fillId="34" borderId="52" xfId="0" applyNumberFormat="1" applyFill="1" applyBorder="1" applyAlignment="1">
      <alignment horizontal="center"/>
    </xf>
    <xf numFmtId="0" fontId="0" fillId="0" borderId="43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6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49" fontId="7" fillId="0" borderId="42" xfId="0" applyNumberFormat="1" applyFont="1" applyBorder="1" applyAlignment="1">
      <alignment horizontal="center"/>
    </xf>
    <xf numFmtId="49" fontId="8" fillId="0" borderId="42" xfId="0" applyNumberFormat="1" applyFont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172" fontId="12" fillId="0" borderId="0" xfId="0" applyNumberFormat="1" applyFont="1" applyFill="1" applyBorder="1" applyAlignment="1">
      <alignment horizontal="center"/>
    </xf>
    <xf numFmtId="0" fontId="1" fillId="0" borderId="63" xfId="0" applyFont="1" applyBorder="1" applyAlignment="1" applyProtection="1">
      <alignment horizontal="center"/>
      <protection/>
    </xf>
    <xf numFmtId="1" fontId="11" fillId="0" borderId="43" xfId="0" applyNumberFormat="1" applyFont="1" applyBorder="1" applyAlignment="1" applyProtection="1">
      <alignment horizontal="center"/>
      <protection/>
    </xf>
    <xf numFmtId="0" fontId="1" fillId="0" borderId="64" xfId="0" applyFont="1" applyBorder="1" applyAlignment="1" applyProtection="1">
      <alignment horizontal="center"/>
      <protection/>
    </xf>
    <xf numFmtId="1" fontId="0" fillId="0" borderId="65" xfId="0" applyNumberFormat="1" applyFont="1" applyBorder="1" applyAlignment="1" applyProtection="1">
      <alignment horizontal="center"/>
      <protection/>
    </xf>
    <xf numFmtId="1" fontId="1" fillId="34" borderId="34" xfId="0" applyNumberFormat="1" applyFont="1" applyFill="1" applyBorder="1" applyAlignment="1" applyProtection="1">
      <alignment horizontal="center"/>
      <protection/>
    </xf>
    <xf numFmtId="0" fontId="0" fillId="34" borderId="66" xfId="0" applyFont="1" applyFill="1" applyBorder="1" applyAlignment="1" applyProtection="1">
      <alignment horizontal="center"/>
      <protection/>
    </xf>
    <xf numFmtId="0" fontId="0" fillId="0" borderId="67" xfId="0" applyBorder="1" applyAlignment="1" applyProtection="1">
      <alignment horizontal="center"/>
      <protection/>
    </xf>
    <xf numFmtId="0" fontId="0" fillId="34" borderId="29" xfId="0" applyFont="1" applyFill="1" applyBorder="1" applyAlignment="1" applyProtection="1">
      <alignment/>
      <protection/>
    </xf>
    <xf numFmtId="0" fontId="7" fillId="36" borderId="14" xfId="0" applyFont="1" applyFill="1" applyBorder="1" applyAlignment="1" applyProtection="1">
      <alignment vertical="center"/>
      <protection/>
    </xf>
    <xf numFmtId="0" fontId="7" fillId="36" borderId="24" xfId="0" applyFont="1" applyFill="1" applyBorder="1" applyAlignment="1" applyProtection="1">
      <alignment vertical="center"/>
      <protection/>
    </xf>
    <xf numFmtId="0" fontId="7" fillId="36" borderId="68" xfId="0" applyFont="1" applyFill="1" applyBorder="1" applyAlignment="1" applyProtection="1">
      <alignment vertical="center"/>
      <protection/>
    </xf>
    <xf numFmtId="0" fontId="7" fillId="36" borderId="69" xfId="0" applyFont="1" applyFill="1" applyBorder="1" applyAlignment="1" applyProtection="1">
      <alignment vertical="center"/>
      <protection/>
    </xf>
    <xf numFmtId="0" fontId="1" fillId="36" borderId="19" xfId="0" applyFont="1" applyFill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/>
      <protection/>
    </xf>
    <xf numFmtId="0" fontId="0" fillId="35" borderId="0" xfId="0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/>
      <protection/>
    </xf>
    <xf numFmtId="0" fontId="5" fillId="35" borderId="0" xfId="0" applyFont="1" applyFill="1" applyBorder="1" applyAlignment="1" applyProtection="1">
      <alignment horizontal="right"/>
      <protection/>
    </xf>
    <xf numFmtId="0" fontId="0" fillId="35" borderId="14" xfId="0" applyFill="1" applyBorder="1" applyAlignment="1" applyProtection="1">
      <alignment horizontal="center"/>
      <protection/>
    </xf>
    <xf numFmtId="0" fontId="0" fillId="35" borderId="14" xfId="0" applyFill="1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1" fillId="33" borderId="24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15" fillId="35" borderId="0" xfId="0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0" fillId="35" borderId="14" xfId="0" applyFill="1" applyBorder="1" applyAlignment="1">
      <alignment/>
    </xf>
    <xf numFmtId="175" fontId="0" fillId="0" borderId="11" xfId="0" applyNumberForma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1" fontId="11" fillId="0" borderId="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49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/>
    </xf>
    <xf numFmtId="0" fontId="0" fillId="36" borderId="70" xfId="0" applyFill="1" applyBorder="1" applyAlignment="1" applyProtection="1">
      <alignment horizontal="center" vertical="center"/>
      <protection/>
    </xf>
    <xf numFmtId="0" fontId="0" fillId="36" borderId="11" xfId="0" applyFill="1" applyBorder="1" applyAlignment="1" applyProtection="1">
      <alignment horizontal="center" vertical="center"/>
      <protection/>
    </xf>
    <xf numFmtId="0" fontId="0" fillId="36" borderId="36" xfId="0" applyFill="1" applyBorder="1" applyAlignment="1" applyProtection="1">
      <alignment horizontal="center" vertical="center"/>
      <protection/>
    </xf>
    <xf numFmtId="0" fontId="0" fillId="36" borderId="71" xfId="0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35" borderId="42" xfId="0" applyFill="1" applyBorder="1" applyAlignment="1">
      <alignment horizontal="center"/>
    </xf>
    <xf numFmtId="49" fontId="0" fillId="35" borderId="42" xfId="0" applyNumberFormat="1" applyFill="1" applyBorder="1" applyAlignment="1">
      <alignment/>
    </xf>
    <xf numFmtId="49" fontId="0" fillId="35" borderId="42" xfId="0" applyNumberFormat="1" applyFont="1" applyFill="1" applyBorder="1" applyAlignment="1">
      <alignment/>
    </xf>
    <xf numFmtId="49" fontId="0" fillId="0" borderId="42" xfId="0" applyNumberFormat="1" applyBorder="1" applyAlignment="1">
      <alignment/>
    </xf>
    <xf numFmtId="0" fontId="0" fillId="0" borderId="17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>
      <alignment horizontal="center"/>
    </xf>
    <xf numFmtId="49" fontId="0" fillId="0" borderId="21" xfId="0" applyNumberFormat="1" applyBorder="1" applyAlignment="1" quotePrefix="1">
      <alignment horizontal="center"/>
    </xf>
    <xf numFmtId="49" fontId="0" fillId="0" borderId="19" xfId="0" applyNumberFormat="1" applyBorder="1" applyAlignment="1" quotePrefix="1">
      <alignment horizontal="center"/>
    </xf>
    <xf numFmtId="49" fontId="0" fillId="0" borderId="0" xfId="0" applyNumberFormat="1" applyAlignment="1" quotePrefix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0" xfId="40" applyNumberFormat="1" applyFont="1" applyAlignment="1" quotePrefix="1">
      <alignment horizontal="center"/>
    </xf>
    <xf numFmtId="49" fontId="0" fillId="0" borderId="19" xfId="0" applyNumberFormat="1" applyBorder="1" applyAlignment="1">
      <alignment horizontal="center"/>
    </xf>
    <xf numFmtId="1" fontId="0" fillId="0" borderId="42" xfId="0" applyNumberFormat="1" applyBorder="1" applyAlignment="1">
      <alignment/>
    </xf>
    <xf numFmtId="1" fontId="0" fillId="34" borderId="42" xfId="0" applyNumberFormat="1" applyFill="1" applyBorder="1" applyAlignment="1">
      <alignment horizontal="center"/>
    </xf>
    <xf numFmtId="186" fontId="6" fillId="36" borderId="45" xfId="0" applyNumberFormat="1" applyFont="1" applyFill="1" applyBorder="1" applyAlignment="1" applyProtection="1">
      <alignment horizontal="center" vertical="center"/>
      <protection/>
    </xf>
    <xf numFmtId="1" fontId="0" fillId="34" borderId="11" xfId="0" applyNumberFormat="1" applyFont="1" applyFill="1" applyBorder="1" applyAlignment="1" applyProtection="1">
      <alignment horizontal="center"/>
      <protection/>
    </xf>
    <xf numFmtId="2" fontId="16" fillId="0" borderId="72" xfId="0" applyNumberFormat="1" applyFont="1" applyBorder="1" applyAlignment="1">
      <alignment horizontal="center"/>
    </xf>
    <xf numFmtId="182" fontId="0" fillId="0" borderId="61" xfId="0" applyNumberFormat="1" applyBorder="1" applyAlignment="1">
      <alignment horizontal="center"/>
    </xf>
    <xf numFmtId="183" fontId="0" fillId="0" borderId="73" xfId="0" applyNumberFormat="1" applyBorder="1" applyAlignment="1">
      <alignment horizontal="center"/>
    </xf>
    <xf numFmtId="182" fontId="0" fillId="0" borderId="0" xfId="0" applyNumberFormat="1" applyBorder="1" applyAlignment="1">
      <alignment horizontal="center"/>
    </xf>
    <xf numFmtId="183" fontId="0" fillId="0" borderId="17" xfId="0" applyNumberFormat="1" applyBorder="1" applyAlignment="1">
      <alignment horizontal="center"/>
    </xf>
    <xf numFmtId="0" fontId="1" fillId="34" borderId="24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/>
      <protection/>
    </xf>
    <xf numFmtId="1" fontId="0" fillId="35" borderId="68" xfId="0" applyNumberFormat="1" applyFont="1" applyFill="1" applyBorder="1" applyAlignment="1" applyProtection="1">
      <alignment horizontal="center" vertical="top"/>
      <protection/>
    </xf>
    <xf numFmtId="1" fontId="0" fillId="35" borderId="74" xfId="0" applyNumberFormat="1" applyFont="1" applyFill="1" applyBorder="1" applyAlignment="1" applyProtection="1">
      <alignment horizontal="center" vertical="top"/>
      <protection/>
    </xf>
    <xf numFmtId="1" fontId="0" fillId="35" borderId="75" xfId="0" applyNumberFormat="1" applyFont="1" applyFill="1" applyBorder="1" applyAlignment="1" applyProtection="1">
      <alignment horizontal="center" vertical="top"/>
      <protection/>
    </xf>
    <xf numFmtId="0" fontId="0" fillId="0" borderId="60" xfId="0" applyFont="1" applyFill="1" applyBorder="1" applyAlignment="1" applyProtection="1">
      <alignment horizontal="center"/>
      <protection/>
    </xf>
    <xf numFmtId="0" fontId="0" fillId="0" borderId="60" xfId="0" applyFont="1" applyBorder="1" applyAlignment="1" applyProtection="1">
      <alignment horizontal="center"/>
      <protection/>
    </xf>
    <xf numFmtId="0" fontId="0" fillId="0" borderId="63" xfId="0" applyFont="1" applyBorder="1" applyAlignment="1" applyProtection="1">
      <alignment horizontal="center"/>
      <protection/>
    </xf>
    <xf numFmtId="0" fontId="0" fillId="0" borderId="76" xfId="0" applyBorder="1" applyAlignment="1" applyProtection="1">
      <alignment/>
      <protection/>
    </xf>
    <xf numFmtId="0" fontId="0" fillId="0" borderId="77" xfId="0" applyBorder="1" applyAlignment="1" applyProtection="1">
      <alignment/>
      <protection/>
    </xf>
    <xf numFmtId="0" fontId="0" fillId="0" borderId="78" xfId="0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 vertical="top"/>
      <protection/>
    </xf>
    <xf numFmtId="0" fontId="1" fillId="0" borderId="42" xfId="0" applyFont="1" applyFill="1" applyBorder="1" applyAlignment="1">
      <alignment/>
    </xf>
    <xf numFmtId="0" fontId="0" fillId="37" borderId="42" xfId="0" applyFill="1" applyBorder="1" applyAlignment="1">
      <alignment horizontal="center"/>
    </xf>
    <xf numFmtId="0" fontId="0" fillId="37" borderId="49" xfId="0" applyFill="1" applyBorder="1" applyAlignment="1">
      <alignment horizontal="center"/>
    </xf>
    <xf numFmtId="0" fontId="0" fillId="37" borderId="48" xfId="0" applyFill="1" applyBorder="1" applyAlignment="1">
      <alignment horizontal="center"/>
    </xf>
    <xf numFmtId="1" fontId="0" fillId="37" borderId="48" xfId="0" applyNumberFormat="1" applyFill="1" applyBorder="1" applyAlignment="1">
      <alignment horizontal="center"/>
    </xf>
    <xf numFmtId="1" fontId="0" fillId="37" borderId="49" xfId="0" applyNumberFormat="1" applyFill="1" applyBorder="1" applyAlignment="1">
      <alignment horizontal="center"/>
    </xf>
    <xf numFmtId="0" fontId="0" fillId="34" borderId="48" xfId="0" applyFont="1" applyFill="1" applyBorder="1" applyAlignment="1">
      <alignment/>
    </xf>
    <xf numFmtId="0" fontId="0" fillId="37" borderId="48" xfId="0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2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1" fontId="0" fillId="0" borderId="48" xfId="0" applyNumberFormat="1" applyFill="1" applyBorder="1" applyAlignment="1">
      <alignment horizontal="center"/>
    </xf>
    <xf numFmtId="1" fontId="0" fillId="0" borderId="49" xfId="0" applyNumberFormat="1" applyFill="1" applyBorder="1" applyAlignment="1">
      <alignment horizontal="center"/>
    </xf>
    <xf numFmtId="0" fontId="1" fillId="34" borderId="36" xfId="0" applyFont="1" applyFill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174" fontId="0" fillId="0" borderId="35" xfId="0" applyNumberFormat="1" applyFont="1" applyBorder="1" applyAlignment="1" applyProtection="1">
      <alignment horizontal="center"/>
      <protection locked="0"/>
    </xf>
    <xf numFmtId="174" fontId="0" fillId="0" borderId="2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6" borderId="36" xfId="0" applyFill="1" applyBorder="1" applyAlignment="1" applyProtection="1">
      <alignment horizontal="center"/>
      <protection/>
    </xf>
    <xf numFmtId="0" fontId="0" fillId="36" borderId="24" xfId="0" applyFill="1" applyBorder="1" applyAlignment="1" applyProtection="1">
      <alignment horizontal="center"/>
      <protection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9" fillId="36" borderId="19" xfId="0" applyFont="1" applyFill="1" applyBorder="1" applyAlignment="1" applyProtection="1">
      <alignment horizontal="right" vertical="center"/>
      <protection/>
    </xf>
    <xf numFmtId="0" fontId="1" fillId="0" borderId="79" xfId="0" applyFont="1" applyBorder="1" applyAlignment="1" applyProtection="1">
      <alignment horizontal="left"/>
      <protection/>
    </xf>
    <xf numFmtId="0" fontId="1" fillId="0" borderId="35" xfId="0" applyFont="1" applyBorder="1" applyAlignment="1" applyProtection="1">
      <alignment horizontal="left"/>
      <protection/>
    </xf>
    <xf numFmtId="0" fontId="0" fillId="0" borderId="44" xfId="0" applyFont="1" applyBorder="1" applyAlignment="1" applyProtection="1">
      <alignment horizontal="right"/>
      <protection/>
    </xf>
    <xf numFmtId="0" fontId="0" fillId="0" borderId="43" xfId="0" applyFont="1" applyBorder="1" applyAlignment="1" applyProtection="1">
      <alignment horizontal="right"/>
      <protection/>
    </xf>
    <xf numFmtId="0" fontId="0" fillId="0" borderId="79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0" fontId="0" fillId="0" borderId="79" xfId="0" applyFont="1" applyBorder="1" applyAlignment="1" applyProtection="1">
      <alignment horizontal="left"/>
      <protection/>
    </xf>
    <xf numFmtId="0" fontId="0" fillId="0" borderId="35" xfId="0" applyFont="1" applyBorder="1" applyAlignment="1" applyProtection="1">
      <alignment horizontal="left"/>
      <protection/>
    </xf>
    <xf numFmtId="0" fontId="0" fillId="0" borderId="44" xfId="0" applyFont="1" applyBorder="1" applyAlignment="1" applyProtection="1">
      <alignment horizontal="left"/>
      <protection/>
    </xf>
    <xf numFmtId="0" fontId="0" fillId="0" borderId="43" xfId="0" applyFont="1" applyBorder="1" applyAlignment="1" applyProtection="1">
      <alignment horizontal="left"/>
      <protection/>
    </xf>
    <xf numFmtId="0" fontId="0" fillId="0" borderId="79" xfId="0" applyFont="1" applyBorder="1" applyAlignment="1" applyProtection="1">
      <alignment horizontal="left"/>
      <protection locked="0"/>
    </xf>
    <xf numFmtId="0" fontId="0" fillId="0" borderId="35" xfId="0" applyFont="1" applyBorder="1" applyAlignment="1" applyProtection="1">
      <alignment horizontal="left"/>
      <protection locked="0"/>
    </xf>
    <xf numFmtId="0" fontId="0" fillId="0" borderId="79" xfId="0" applyBorder="1" applyAlignment="1" applyProtection="1">
      <alignment horizontal="left"/>
      <protection/>
    </xf>
    <xf numFmtId="0" fontId="0" fillId="0" borderId="35" xfId="0" applyBorder="1" applyAlignment="1" applyProtection="1">
      <alignment horizontal="left"/>
      <protection/>
    </xf>
    <xf numFmtId="0" fontId="0" fillId="0" borderId="80" xfId="0" applyBorder="1" applyAlignment="1" applyProtection="1">
      <alignment horizontal="left"/>
      <protection/>
    </xf>
    <xf numFmtId="0" fontId="0" fillId="0" borderId="74" xfId="0" applyBorder="1" applyAlignment="1" applyProtection="1">
      <alignment horizontal="left"/>
      <protection/>
    </xf>
    <xf numFmtId="0" fontId="0" fillId="0" borderId="67" xfId="0" applyBorder="1" applyAlignment="1" applyProtection="1">
      <alignment horizontal="left"/>
      <protection/>
    </xf>
    <xf numFmtId="0" fontId="0" fillId="0" borderId="46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1" fillId="34" borderId="81" xfId="0" applyFont="1" applyFill="1" applyBorder="1" applyAlignment="1" applyProtection="1">
      <alignment horizontal="left" vertical="top" wrapText="1"/>
      <protection/>
    </xf>
    <xf numFmtId="0" fontId="1" fillId="34" borderId="31" xfId="0" applyFont="1" applyFill="1" applyBorder="1" applyAlignment="1" applyProtection="1">
      <alignment horizontal="left" vertical="top" wrapText="1"/>
      <protection/>
    </xf>
    <xf numFmtId="0" fontId="1" fillId="34" borderId="67" xfId="0" applyFont="1" applyFill="1" applyBorder="1" applyAlignment="1" applyProtection="1">
      <alignment horizontal="left" vertical="top" wrapText="1"/>
      <protection/>
    </xf>
    <xf numFmtId="0" fontId="1" fillId="34" borderId="82" xfId="0" applyFont="1" applyFill="1" applyBorder="1" applyAlignment="1" applyProtection="1">
      <alignment horizontal="left" vertical="top" wrapText="1"/>
      <protection/>
    </xf>
    <xf numFmtId="0" fontId="1" fillId="34" borderId="83" xfId="0" applyFont="1" applyFill="1" applyBorder="1" applyAlignment="1" applyProtection="1">
      <alignment horizontal="left" vertical="top" wrapText="1"/>
      <protection/>
    </xf>
    <xf numFmtId="0" fontId="1" fillId="34" borderId="84" xfId="0" applyFont="1" applyFill="1" applyBorder="1" applyAlignment="1" applyProtection="1">
      <alignment horizontal="left" vertical="top" wrapText="1"/>
      <protection/>
    </xf>
    <xf numFmtId="0" fontId="0" fillId="0" borderId="79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85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0" borderId="86" xfId="0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/>
    </xf>
    <xf numFmtId="0" fontId="0" fillId="0" borderId="17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1" fillId="0" borderId="17" xfId="0" applyFont="1" applyBorder="1" applyAlignment="1" applyProtection="1">
      <alignment horizontal="right"/>
      <protection/>
    </xf>
    <xf numFmtId="0" fontId="0" fillId="0" borderId="31" xfId="0" applyBorder="1" applyAlignment="1" applyProtection="1">
      <alignment horizontal="left"/>
      <protection/>
    </xf>
    <xf numFmtId="0" fontId="0" fillId="0" borderId="35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81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67" xfId="0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87" xfId="0" applyBorder="1" applyAlignment="1" applyProtection="1">
      <alignment horizontal="left"/>
      <protection/>
    </xf>
    <xf numFmtId="0" fontId="0" fillId="0" borderId="60" xfId="0" applyBorder="1" applyAlignment="1" applyProtection="1">
      <alignment horizontal="left"/>
      <protection/>
    </xf>
    <xf numFmtId="0" fontId="0" fillId="0" borderId="44" xfId="0" applyBorder="1" applyAlignment="1" applyProtection="1">
      <alignment horizontal="left"/>
      <protection/>
    </xf>
    <xf numFmtId="0" fontId="0" fillId="0" borderId="88" xfId="0" applyBorder="1" applyAlignment="1" applyProtection="1">
      <alignment horizontal="left"/>
      <protection/>
    </xf>
    <xf numFmtId="0" fontId="1" fillId="0" borderId="89" xfId="0" applyFont="1" applyBorder="1" applyAlignment="1" applyProtection="1">
      <alignment horizontal="left"/>
      <protection/>
    </xf>
    <xf numFmtId="0" fontId="1" fillId="0" borderId="63" xfId="0" applyFont="1" applyBorder="1" applyAlignment="1" applyProtection="1">
      <alignment horizontal="left"/>
      <protection/>
    </xf>
    <xf numFmtId="0" fontId="1" fillId="34" borderId="81" xfId="0" applyFont="1" applyFill="1" applyBorder="1" applyAlignment="1" applyProtection="1">
      <alignment horizontal="left"/>
      <protection locked="0"/>
    </xf>
    <xf numFmtId="0" fontId="1" fillId="34" borderId="31" xfId="0" applyFont="1" applyFill="1" applyBorder="1" applyAlignment="1" applyProtection="1">
      <alignment horizontal="left"/>
      <protection locked="0"/>
    </xf>
    <xf numFmtId="0" fontId="1" fillId="34" borderId="31" xfId="0" applyFont="1" applyFill="1" applyBorder="1" applyAlignment="1" applyProtection="1">
      <alignment horizontal="left"/>
      <protection/>
    </xf>
    <xf numFmtId="0" fontId="1" fillId="34" borderId="67" xfId="0" applyFont="1" applyFill="1" applyBorder="1" applyAlignment="1" applyProtection="1">
      <alignment horizontal="left"/>
      <protection/>
    </xf>
    <xf numFmtId="0" fontId="0" fillId="0" borderId="90" xfId="0" applyBorder="1" applyAlignment="1" applyProtection="1">
      <alignment horizontal="left"/>
      <protection/>
    </xf>
    <xf numFmtId="0" fontId="0" fillId="0" borderId="22" xfId="0" applyBorder="1" applyAlignment="1" applyProtection="1">
      <alignment horizontal="left"/>
      <protection/>
    </xf>
    <xf numFmtId="0" fontId="1" fillId="33" borderId="91" xfId="0" applyFont="1" applyFill="1" applyBorder="1" applyAlignment="1">
      <alignment horizontal="center"/>
    </xf>
    <xf numFmtId="0" fontId="1" fillId="33" borderId="92" xfId="0" applyFont="1" applyFill="1" applyBorder="1" applyAlignment="1">
      <alignment horizontal="center"/>
    </xf>
    <xf numFmtId="0" fontId="1" fillId="33" borderId="72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93" xfId="0" applyFont="1" applyFill="1" applyBorder="1" applyAlignment="1">
      <alignment horizontal="center"/>
    </xf>
    <xf numFmtId="0" fontId="4" fillId="0" borderId="58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0" fontId="1" fillId="33" borderId="36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1" fontId="0" fillId="34" borderId="42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Huomautus" xfId="42"/>
    <cellStyle name="Huono" xfId="43"/>
    <cellStyle name="Hyperlink" xfId="44"/>
    <cellStyle name="Hyvä" xfId="45"/>
    <cellStyle name="Laskenta" xfId="46"/>
    <cellStyle name="Linkitetty solu" xfId="47"/>
    <cellStyle name="Neutraali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dxfs count="1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indexed="57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3</xdr:row>
      <xdr:rowOff>133350</xdr:rowOff>
    </xdr:from>
    <xdr:to>
      <xdr:col>17</xdr:col>
      <xdr:colOff>133350</xdr:colOff>
      <xdr:row>13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96050" y="619125"/>
          <a:ext cx="4286250" cy="15621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Käyttöohje: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1 - Valitse oheiset solut, kopioi leikepöydälle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2 - Avaa uusi Excel työkirja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3 - Liitä leikepöydältä solut uuteen työkirjaan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4 - Tallenna uusi työkirja CSV-formaatissa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5 - Sulje talletettu CSV-formaatin työkirja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6 - Avaa CSV-formaatin työkirja Notepadilla tai vastaavalla tekstieditorilla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7 - Tallenna puhtaassa TXT-muodossa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8 - TXT-muotoinen saadaan OziExplorerin avulla siirrettyä Garminiin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73"/>
  <sheetViews>
    <sheetView tabSelected="1" zoomScale="85" zoomScaleNormal="85" zoomScalePageLayoutView="0" workbookViewId="0" topLeftCell="A1">
      <selection activeCell="G27" sqref="G27"/>
    </sheetView>
  </sheetViews>
  <sheetFormatPr defaultColWidth="9.140625" defaultRowHeight="12.75"/>
  <cols>
    <col min="1" max="1" width="8.7109375" style="37" customWidth="1"/>
    <col min="2" max="2" width="15.00390625" style="38" customWidth="1"/>
    <col min="3" max="3" width="14.57421875" style="38" customWidth="1"/>
    <col min="4" max="4" width="12.421875" style="38" customWidth="1"/>
    <col min="5" max="5" width="6.8515625" style="38" customWidth="1"/>
    <col min="6" max="6" width="9.00390625" style="38" customWidth="1"/>
    <col min="7" max="7" width="8.421875" style="38" customWidth="1"/>
    <col min="8" max="8" width="9.140625" style="38" customWidth="1"/>
    <col min="9" max="9" width="9.57421875" style="38" customWidth="1"/>
    <col min="10" max="10" width="6.28125" style="38" customWidth="1"/>
    <col min="11" max="11" width="7.421875" style="38" customWidth="1"/>
    <col min="12" max="14" width="8.28125" style="38" customWidth="1"/>
    <col min="15" max="15" width="1.28515625" style="38" customWidth="1"/>
    <col min="16" max="16" width="11.28125" style="38" customWidth="1"/>
    <col min="17" max="17" width="10.421875" style="38" customWidth="1"/>
    <col min="18" max="18" width="13.140625" style="37" customWidth="1"/>
    <col min="19" max="19" width="7.00390625" style="37" customWidth="1"/>
    <col min="20" max="20" width="7.140625" style="37" customWidth="1"/>
    <col min="21" max="23" width="9.140625" style="38" customWidth="1"/>
    <col min="24" max="24" width="7.7109375" style="38" customWidth="1"/>
    <col min="25" max="25" width="5.8515625" style="38" customWidth="1"/>
    <col min="26" max="26" width="7.421875" style="38" customWidth="1"/>
    <col min="27" max="27" width="10.140625" style="38" customWidth="1"/>
    <col min="28" max="28" width="7.8515625" style="38" customWidth="1"/>
    <col min="29" max="29" width="7.00390625" style="38" customWidth="1"/>
    <col min="30" max="31" width="9.140625" style="38" customWidth="1"/>
    <col min="32" max="32" width="4.8515625" style="37" customWidth="1"/>
    <col min="33" max="16384" width="9.140625" style="38" customWidth="1"/>
  </cols>
  <sheetData>
    <row r="1" spans="1:14" ht="13.5" customHeight="1">
      <c r="A1" s="238"/>
      <c r="B1" s="246"/>
      <c r="C1" s="247"/>
      <c r="D1" s="247"/>
      <c r="E1" s="247"/>
      <c r="F1" s="247"/>
      <c r="G1" s="239"/>
      <c r="H1" s="239"/>
      <c r="I1" s="239"/>
      <c r="J1" s="239"/>
      <c r="K1" s="239"/>
      <c r="L1" s="239"/>
      <c r="M1" s="239"/>
      <c r="N1" s="240" t="s">
        <v>849</v>
      </c>
    </row>
    <row r="2" spans="1:14" ht="12.75">
      <c r="A2" s="241"/>
      <c r="B2" s="248"/>
      <c r="C2" s="248"/>
      <c r="D2" s="248"/>
      <c r="E2" s="248"/>
      <c r="F2" s="248"/>
      <c r="G2" s="242"/>
      <c r="H2" s="242"/>
      <c r="I2" s="242"/>
      <c r="J2" s="242"/>
      <c r="K2" s="242"/>
      <c r="L2" s="242"/>
      <c r="M2" s="239"/>
      <c r="N2" s="245" t="s">
        <v>845</v>
      </c>
    </row>
    <row r="3" spans="1:14" ht="12.75">
      <c r="A3" s="79" t="s">
        <v>24</v>
      </c>
      <c r="B3" s="45"/>
      <c r="C3" s="45"/>
      <c r="D3" s="45"/>
      <c r="E3" s="46"/>
      <c r="F3" s="79" t="s">
        <v>24</v>
      </c>
      <c r="G3" s="45"/>
      <c r="H3" s="45"/>
      <c r="I3" s="45"/>
      <c r="J3" s="45"/>
      <c r="K3" s="46"/>
      <c r="L3" s="79" t="s">
        <v>347</v>
      </c>
      <c r="M3" s="286"/>
      <c r="N3" s="46"/>
    </row>
    <row r="4" spans="1:20" ht="12.75">
      <c r="A4" s="336" t="s">
        <v>8</v>
      </c>
      <c r="B4" s="337"/>
      <c r="C4" s="337"/>
      <c r="D4" s="198">
        <v>185</v>
      </c>
      <c r="E4" s="41" t="str">
        <f>IF(Laskenta!B23=TRUE,"km/h","knots")</f>
        <v>knots</v>
      </c>
      <c r="F4" s="334" t="s">
        <v>14</v>
      </c>
      <c r="G4" s="335"/>
      <c r="H4" s="335"/>
      <c r="I4" s="335"/>
      <c r="J4" s="201">
        <v>40</v>
      </c>
      <c r="K4" s="237" t="s">
        <v>16</v>
      </c>
      <c r="L4" s="320"/>
      <c r="M4" s="321"/>
      <c r="N4" s="322"/>
      <c r="T4" s="39"/>
    </row>
    <row r="5" spans="1:20" ht="12.75">
      <c r="A5" s="336" t="s">
        <v>9</v>
      </c>
      <c r="B5" s="337"/>
      <c r="C5" s="337"/>
      <c r="D5" s="199">
        <v>5</v>
      </c>
      <c r="E5" s="41" t="s">
        <v>10</v>
      </c>
      <c r="F5" s="336" t="s">
        <v>15</v>
      </c>
      <c r="G5" s="337"/>
      <c r="H5" s="337"/>
      <c r="I5" s="337"/>
      <c r="J5" s="201">
        <v>10</v>
      </c>
      <c r="K5" s="237" t="s">
        <v>16</v>
      </c>
      <c r="L5" s="323"/>
      <c r="M5" s="324"/>
      <c r="N5" s="325"/>
      <c r="T5" s="39"/>
    </row>
    <row r="6" spans="1:20" ht="12.75">
      <c r="A6" s="336" t="s">
        <v>11</v>
      </c>
      <c r="B6" s="337"/>
      <c r="C6" s="337"/>
      <c r="D6" s="204">
        <v>5</v>
      </c>
      <c r="E6" s="41" t="s">
        <v>354</v>
      </c>
      <c r="F6" s="336" t="s">
        <v>13</v>
      </c>
      <c r="G6" s="337"/>
      <c r="H6" s="337"/>
      <c r="I6" s="337"/>
      <c r="J6" s="201">
        <v>5</v>
      </c>
      <c r="K6" s="237" t="s">
        <v>16</v>
      </c>
      <c r="L6" s="323"/>
      <c r="M6" s="324"/>
      <c r="N6" s="325"/>
      <c r="T6" s="39"/>
    </row>
    <row r="7" spans="1:20" ht="12.75">
      <c r="A7" s="336" t="s">
        <v>26</v>
      </c>
      <c r="B7" s="337"/>
      <c r="C7" s="337"/>
      <c r="D7" s="199">
        <v>7</v>
      </c>
      <c r="E7" s="41" t="s">
        <v>10</v>
      </c>
      <c r="F7" s="336" t="s">
        <v>12</v>
      </c>
      <c r="G7" s="337"/>
      <c r="H7" s="337"/>
      <c r="I7" s="337"/>
      <c r="J7" s="201">
        <v>2</v>
      </c>
      <c r="K7" s="237" t="s">
        <v>16</v>
      </c>
      <c r="L7" s="323"/>
      <c r="M7" s="324"/>
      <c r="N7" s="325"/>
      <c r="T7" s="39"/>
    </row>
    <row r="8" spans="1:22" ht="12.75">
      <c r="A8" s="336" t="s">
        <v>225</v>
      </c>
      <c r="B8" s="337"/>
      <c r="C8" s="337"/>
      <c r="D8" s="199">
        <v>17</v>
      </c>
      <c r="E8" s="40" t="s">
        <v>227</v>
      </c>
      <c r="F8" s="330"/>
      <c r="G8" s="331"/>
      <c r="H8" s="331"/>
      <c r="I8" s="331"/>
      <c r="J8" s="78"/>
      <c r="K8" s="78"/>
      <c r="L8" s="323"/>
      <c r="M8" s="324"/>
      <c r="N8" s="325"/>
      <c r="T8" s="43"/>
      <c r="U8" s="42"/>
      <c r="V8" s="42"/>
    </row>
    <row r="9" spans="1:22" ht="12.75" customHeight="1">
      <c r="A9" s="338" t="s">
        <v>226</v>
      </c>
      <c r="B9" s="339"/>
      <c r="C9" s="339"/>
      <c r="D9" s="200">
        <v>5</v>
      </c>
      <c r="E9" s="44" t="s">
        <v>227</v>
      </c>
      <c r="F9" s="332" t="s">
        <v>502</v>
      </c>
      <c r="G9" s="333"/>
      <c r="H9" s="333"/>
      <c r="I9" s="333"/>
      <c r="J9" s="214">
        <f ca="1">INDIRECT(CONCATENATE("Konedata!",ADDRESS(Konedata!A3+4,19)))</f>
        <v>16</v>
      </c>
      <c r="K9" s="214">
        <f ca="1">INDIRECT(CONCATENATE("Konedata!",ADDRESS(Konedata!A3+4,20)))</f>
        <v>25</v>
      </c>
      <c r="L9" s="323"/>
      <c r="M9" s="324"/>
      <c r="N9" s="325"/>
      <c r="T9" s="43"/>
      <c r="U9" s="42"/>
      <c r="V9" s="42"/>
    </row>
    <row r="10" spans="2:22" ht="26.25" customHeight="1">
      <c r="B10" s="42"/>
      <c r="C10" s="42"/>
      <c r="D10" s="42"/>
      <c r="E10" s="42"/>
      <c r="F10" s="329" t="s">
        <v>486</v>
      </c>
      <c r="G10" s="329"/>
      <c r="H10" s="329"/>
      <c r="I10" s="329"/>
      <c r="J10" s="236"/>
      <c r="K10" s="236"/>
      <c r="L10" s="326"/>
      <c r="M10" s="327"/>
      <c r="N10" s="328"/>
      <c r="Q10" s="319"/>
      <c r="R10" s="47"/>
      <c r="T10" s="43"/>
      <c r="U10" s="42"/>
      <c r="V10" s="42"/>
    </row>
    <row r="11" spans="1:23" ht="12.75">
      <c r="A11" s="312" t="s">
        <v>231</v>
      </c>
      <c r="B11" s="313"/>
      <c r="C11" s="313"/>
      <c r="D11" s="313"/>
      <c r="E11" s="313"/>
      <c r="F11" s="45"/>
      <c r="G11" s="45"/>
      <c r="H11" s="45"/>
      <c r="I11" s="45"/>
      <c r="J11" s="45"/>
      <c r="K11" s="45"/>
      <c r="L11" s="45"/>
      <c r="M11" s="45"/>
      <c r="N11" s="46"/>
      <c r="O11" s="47"/>
      <c r="P11" s="47"/>
      <c r="Q11" s="319"/>
      <c r="R11" s="65"/>
      <c r="T11" s="43"/>
      <c r="U11" s="42"/>
      <c r="V11" s="42"/>
      <c r="W11" s="42"/>
    </row>
    <row r="12" spans="1:23" ht="12.75">
      <c r="A12" s="49"/>
      <c r="B12" s="50"/>
      <c r="C12" s="51"/>
      <c r="D12" s="52"/>
      <c r="E12" s="53"/>
      <c r="F12" s="52"/>
      <c r="G12" s="53"/>
      <c r="H12" s="52"/>
      <c r="I12" s="53"/>
      <c r="J12" s="52" t="s">
        <v>171</v>
      </c>
      <c r="K12" s="53" t="s">
        <v>32</v>
      </c>
      <c r="L12" s="37" t="s">
        <v>564</v>
      </c>
      <c r="M12" s="54" t="s">
        <v>564</v>
      </c>
      <c r="N12" s="287" t="s">
        <v>21</v>
      </c>
      <c r="O12" s="55"/>
      <c r="P12" s="47"/>
      <c r="Q12" s="47"/>
      <c r="R12" s="48"/>
      <c r="T12" s="43"/>
      <c r="U12" s="42"/>
      <c r="V12" s="42"/>
      <c r="W12" s="42"/>
    </row>
    <row r="13" spans="1:23" ht="12.75">
      <c r="A13" s="49" t="s">
        <v>232</v>
      </c>
      <c r="B13" s="50"/>
      <c r="C13" s="56" t="s">
        <v>279</v>
      </c>
      <c r="D13" s="56" t="s">
        <v>282</v>
      </c>
      <c r="E13" s="53" t="s">
        <v>228</v>
      </c>
      <c r="F13" s="52" t="s">
        <v>18</v>
      </c>
      <c r="G13" s="53" t="s">
        <v>19</v>
      </c>
      <c r="H13" s="52" t="s">
        <v>22</v>
      </c>
      <c r="I13" s="53" t="s">
        <v>21</v>
      </c>
      <c r="J13" s="52" t="s">
        <v>23</v>
      </c>
      <c r="K13" s="53" t="s">
        <v>33</v>
      </c>
      <c r="L13" s="52" t="s">
        <v>563</v>
      </c>
      <c r="M13" s="269" t="s">
        <v>676</v>
      </c>
      <c r="N13" s="287" t="s">
        <v>690</v>
      </c>
      <c r="O13" s="47"/>
      <c r="P13" s="47"/>
      <c r="Q13" s="47"/>
      <c r="R13" s="48"/>
      <c r="T13" s="43"/>
      <c r="U13" s="42"/>
      <c r="V13" s="42"/>
      <c r="W13" s="42"/>
    </row>
    <row r="14" spans="1:31" ht="12.75">
      <c r="A14" s="280" t="str">
        <f>CONCATENATE(Laskenta!A26,Laskenta!B26)</f>
        <v>Kork. ft</v>
      </c>
      <c r="B14" s="231" t="s">
        <v>0</v>
      </c>
      <c r="C14" s="57" t="str">
        <f>IF(Laskenta!B20=TRUE,"Pikavalinta","")</f>
        <v>Pikavalinta</v>
      </c>
      <c r="D14" s="58" t="s">
        <v>278</v>
      </c>
      <c r="E14" s="93" t="s">
        <v>169</v>
      </c>
      <c r="F14" s="104" t="s">
        <v>169</v>
      </c>
      <c r="G14" s="93" t="str">
        <f>IF(Laskenta!B23=TRUE,"[km/h]","[knots]")</f>
        <v>[knots]</v>
      </c>
      <c r="H14" s="94" t="str">
        <f>IF(Laskenta!B23=TRUE,"[km]","[NM]")</f>
        <v>[NM]</v>
      </c>
      <c r="I14" s="93" t="s">
        <v>20</v>
      </c>
      <c r="J14" s="94" t="str">
        <f>IF(Laskenta!B23=TRUE,"[km]","[NM]")</f>
        <v>[NM]</v>
      </c>
      <c r="K14" s="93" t="s">
        <v>170</v>
      </c>
      <c r="L14" s="52" t="s">
        <v>169</v>
      </c>
      <c r="M14" s="54" t="s">
        <v>562</v>
      </c>
      <c r="N14" s="297" t="s">
        <v>691</v>
      </c>
      <c r="O14" s="55"/>
      <c r="P14" s="47"/>
      <c r="Q14" s="47"/>
      <c r="R14" s="48"/>
      <c r="T14" s="43"/>
      <c r="U14" s="42"/>
      <c r="V14" s="42"/>
      <c r="W14" s="42"/>
      <c r="X14" s="37"/>
      <c r="Y14" s="37"/>
      <c r="AA14" s="37"/>
      <c r="AB14" s="37"/>
      <c r="AC14" s="37"/>
      <c r="AD14" s="37"/>
      <c r="AE14" s="37"/>
    </row>
    <row r="15" spans="1:31" ht="15.75" customHeight="1">
      <c r="A15" s="260">
        <f>IF(Laskenta!C5&lt;&gt;"",1,"")</f>
        <v>1</v>
      </c>
      <c r="B15" s="233"/>
      <c r="C15" s="80" t="str">
        <f ca="1">IF(INDIRECT(CONCATENATE("Tietokanta!",ADDRESS(Laskenta!B5+2,6)))&gt;0,INDIRECT(CONCATENATE("Tietokanta!",ADDRESS(Laskenta!B5+2,6))),"")</f>
        <v>123.500</v>
      </c>
      <c r="D15" s="85">
        <f ca="1">IF(INDIRECT(CONCATENATE("Tietokanta!",ADDRESS(Laskenta!B5+2,8)))&gt;0,INDIRECT(CONCATENATE("Tietokanta!",ADDRESS(Laskenta!B5+2,8))),"")</f>
      </c>
      <c r="E15" s="95">
        <f>IF(Laskenta!$B$21,IF(ISNUMBER(Laskenta!P5),Laskenta!P5,""),"")</f>
        <v>292.1669524632789</v>
      </c>
      <c r="F15" s="101">
        <f>IF(Laskenta!$B$21,IF(ISNUMBER(Laskenta!Z5),Laskenta!Z5,""),"")</f>
        <v>286.69135115052126</v>
      </c>
      <c r="G15" s="96">
        <f>IF(Laskenta!$B$21,IF(ISNUMBER(Laskenta!AA5),IF(Laskenta!$B$23,Laskenta!AA5,Laskenta!AA5),""),"")</f>
        <v>184.051940942789</v>
      </c>
      <c r="H15" s="96">
        <f>IF(Laskenta!$B$21,IF(ISNUMBER(Laskenta!M5),IF(Laskenta!$B$23,Laskenta!M5,Laskenta!M5/1.852),""),"")</f>
        <v>22.084598238655122</v>
      </c>
      <c r="I15" s="95">
        <f>IF(Laskenta!$B$21,IF(ISNUMBER(H15),H15/G15*60,""),"")</f>
        <v>7.199467104403947</v>
      </c>
      <c r="J15" s="96">
        <f>IF(Laskenta!$B$21,IF(ISNUMBER(H15),G15/12,""),"")</f>
        <v>15.337661745232417</v>
      </c>
      <c r="K15" s="288">
        <f>IF(Laskenta!$B$21,IF(ISNUMBER(H15),$D$8/60*I15,""),"")</f>
        <v>2.0398490129144515</v>
      </c>
      <c r="L15" s="291" t="str">
        <f ca="1">IF(INDIRECT(CONCATENATE("Tietokanta!",ADDRESS(Laskenta!B5+2,14)))&gt;0,INDIRECT(CONCATENATE("Tietokanta!",ADDRESS(Laskenta!B5+2,14))),"")</f>
        <v>08/26</v>
      </c>
      <c r="M15" s="291" t="str">
        <f ca="1">IF(INDIRECT(CONCATENATE("Tietokanta!",ADDRESS(Laskenta!B5+2,16)))&gt;0,INDIRECT(CONCATENATE("Tietokanta!",ADDRESS(Laskenta!B5+2,16))),"")</f>
        <v>750x18</v>
      </c>
      <c r="N15" s="294"/>
      <c r="O15" s="59"/>
      <c r="P15" s="48"/>
      <c r="Q15" s="48"/>
      <c r="R15" s="48"/>
      <c r="T15" s="43"/>
      <c r="U15" s="42"/>
      <c r="V15" s="42"/>
      <c r="W15" s="42"/>
      <c r="X15" s="37"/>
      <c r="Y15" s="37"/>
      <c r="Z15" s="37"/>
      <c r="AA15" s="37"/>
      <c r="AB15" s="37"/>
      <c r="AD15" s="37"/>
      <c r="AE15" s="37"/>
    </row>
    <row r="16" spans="1:32" ht="12.75">
      <c r="A16" s="279">
        <f>IF(Laskenta!$B$24=0,(Laskenta!AB5),IF(Laskenta!$B$24,Laskenta!AC5))</f>
        <v>406.8241476</v>
      </c>
      <c r="B16" s="232" t="str">
        <f ca="1">IF(Laskenta!B25=TRUE,IF(INDIRECT(CONCATENATE("Tietokanta!",ADDRESS(Laskenta!B5+2,6)))&gt;0,INDIRECT(CONCATENATE("Tietokanta!",ADDRESS(Laskenta!B5+2,10))),""),"")</f>
        <v>ALAVUS</v>
      </c>
      <c r="C16" s="60" t="str">
        <f ca="1">IF(Laskenta!B20=TRUE,IF(INDIRECT(CONCATENATE("Tietokanta!",ADDRESS(Laskenta!B5+2,6)))&gt;0,CONCATENATE("Pika ",VLOOKUP((RIGHT(C15,7)),Pikavalintatiedot!B4:C54,2,TRUE)),""),"")</f>
        <v>Pika 10</v>
      </c>
      <c r="D16" s="81">
        <f ca="1">IF(INDIRECT(CONCATENATE("Tietokanta!",ADDRESS(Laskenta!B5+2,9)))&gt;0,INDIRECT(CONCATENATE("Tietokanta!",ADDRESS(Laskenta!B5+2,9))),"")</f>
      </c>
      <c r="E16" s="97">
        <f>IF(Laskenta!$B$22,IF(ISNUMBER(Laskenta!P5),Laskenta!P5,""),"")</f>
      </c>
      <c r="F16" s="97">
        <f>IF(Laskenta!$B$22,IF(ISNUMBER(Laskenta!Z5),Laskenta!Z5,""),"")</f>
      </c>
      <c r="G16" s="98">
        <f>IF(Laskenta!$B$22,IF(ISNUMBER(Laskenta!AA5),IF(Laskenta!$B$23,Laskenta!AA5,Laskenta!AA5),""),"")</f>
      </c>
      <c r="H16" s="98">
        <f>IF(Laskenta!$B$22,IF(ISNUMBER(Laskenta!M5),IF(Laskenta!$B$23,Laskenta!M5,Laskenta!M5/1.852),""),"")</f>
      </c>
      <c r="I16" s="97">
        <f>IF(Laskenta!$B$22,IF(ISNUMBER(H16),H16/G16*60,""),"")</f>
      </c>
      <c r="J16" s="98">
        <f>IF(Laskenta!$B$22,IF(ISNUMBER(H16),G16/12,""),"")</f>
      </c>
      <c r="K16" s="289">
        <f>IF(Laskenta!$B$22,IF(ISNUMBER(H16),$D$8/60*I16,""),"")</f>
      </c>
      <c r="L16" s="292">
        <f ca="1">IF(INDIRECT(CONCATENATE("Tietokanta!",ADDRESS(Laskenta!B5+2,15)))&gt;0,INDIRECT(CONCATENATE("Tietokanta!",ADDRESS(Laskenta!B5+2,15))),"")</f>
      </c>
      <c r="M16" s="292">
        <f ca="1">IF(INDIRECT(CONCATENATE("Tietokanta!",ADDRESS(Laskenta!B5+2,17)))&gt;0,INDIRECT(CONCATENATE("Tietokanta!",ADDRESS(Laskenta!B5+2,17))),"")</f>
      </c>
      <c r="N16" s="295"/>
      <c r="O16" s="61"/>
      <c r="P16" s="62"/>
      <c r="Q16" s="62"/>
      <c r="R16" s="62"/>
      <c r="T16" s="43"/>
      <c r="U16" s="42"/>
      <c r="V16" s="42"/>
      <c r="W16" s="42"/>
      <c r="X16" s="63"/>
      <c r="Y16" s="63"/>
      <c r="Z16" s="63"/>
      <c r="AA16" s="63"/>
      <c r="AB16" s="63"/>
      <c r="AC16" s="63"/>
      <c r="AD16" s="63"/>
      <c r="AE16" s="63"/>
      <c r="AF16" s="63"/>
    </row>
    <row r="17" spans="1:26" ht="15.75" customHeight="1">
      <c r="A17" s="261">
        <f>IF(Laskenta!C6&lt;&gt;"",2,"")</f>
        <v>2</v>
      </c>
      <c r="B17" s="233"/>
      <c r="C17" s="64" t="str">
        <f ca="1">IF(INDIRECT(CONCATENATE("Tietokanta!",ADDRESS(Laskenta!B6+2,6)))&gt;0,INDIRECT(CONCATENATE("Tietokanta!",ADDRESS(Laskenta!B6+2,6))),"")</f>
        <v>AFIS 123.600</v>
      </c>
      <c r="D17" s="82">
        <f ca="1">IF(INDIRECT(CONCATENATE("Tietokanta!",ADDRESS(Laskenta!B6+2,8)))&gt;0,INDIRECT(CONCATENATE("Tietokanta!",ADDRESS(Laskenta!B6+2,8))),"")</f>
      </c>
      <c r="E17" s="99">
        <f>IF(Laskenta!$B$21,IF(ISNUMBER(Laskenta!P6),Laskenta!P6,""),"")</f>
        <v>2.4908905359289264</v>
      </c>
      <c r="F17" s="101">
        <f>IF(Laskenta!$B$21,IF(ISNUMBER(Laskenta!Z6),Laskenta!Z6,""),"")</f>
        <v>355.74671613321044</v>
      </c>
      <c r="G17" s="100">
        <f>IF(Laskenta!$B$21,IF(ISNUMBER(Laskenta!AA6),IF(Laskenta!$B$23,Laskenta!AA6,Laskenta!AA6),""),"")</f>
        <v>180.0668591624429</v>
      </c>
      <c r="H17" s="100">
        <f>IF(Laskenta!$B$21,IF(ISNUMBER(Laskenta!M6),IF(Laskenta!$B$23,Laskenta!M6,Laskenta!M6/1.852),""),"")</f>
        <v>340.54454773407275</v>
      </c>
      <c r="I17" s="101">
        <f>IF(Laskenta!$B$21,IF(ISNUMBER(H17),H17/G17*60,""),"")</f>
        <v>113.47270096831937</v>
      </c>
      <c r="J17" s="100">
        <f>IF(Laskenta!$B$21,IF(ISNUMBER(H17),G17/12,""),"")</f>
        <v>15.005571596870242</v>
      </c>
      <c r="K17" s="290">
        <f>IF(Laskenta!$B$21,IF(ISNUMBER(H17),$D$8/60*I17,""),"")</f>
        <v>32.15059860769049</v>
      </c>
      <c r="L17" s="291" t="str">
        <f ca="1">IF(INDIRECT(CONCATENATE("Tietokanta!",ADDRESS(Laskenta!B6+2,14)))&gt;0,INDIRECT(CONCATENATE("Tietokanta!",ADDRESS(Laskenta!B6+2,14))),"")</f>
        <v>14/32</v>
      </c>
      <c r="M17" s="291" t="str">
        <f ca="1">IF(INDIRECT(CONCATENATE("Tietokanta!",ADDRESS(Laskenta!B6+2,16)))&gt;0,INDIRECT(CONCATENATE("Tietokanta!",ADDRESS(Laskenta!B6+2,16))),"")</f>
        <v>2000x45</v>
      </c>
      <c r="N17" s="295"/>
      <c r="O17" s="59"/>
      <c r="P17" s="48"/>
      <c r="Q17" s="218"/>
      <c r="R17" s="48"/>
      <c r="T17" s="43"/>
      <c r="U17" s="42"/>
      <c r="V17" s="42"/>
      <c r="W17" s="42"/>
      <c r="Z17" s="37"/>
    </row>
    <row r="18" spans="1:26" ht="12.75">
      <c r="A18" s="279">
        <f>IF(Laskenta!$B$24=0,(Laskenta!AB6),IF(Laskenta!$B$24,Laskenta!AC6))</f>
        <v>301.8372708</v>
      </c>
      <c r="B18" s="232" t="str">
        <f ca="1">IF(Laskenta!B25=TRUE,IF(INDIRECT(CONCATENATE("Tietokanta!",ADDRESS(Laskenta!B6+2,6)))&gt;0,INDIRECT(CONCATENATE("Tietokanta!",ADDRESS(Laskenta!B6+2,10))),""),"")</f>
        <v>SEINÄJOKI</v>
      </c>
      <c r="C18" s="60" t="str">
        <f ca="1">IF(Laskenta!B20=TRUE,IF(INDIRECT(CONCATENATE("Tietokanta!",ADDRESS(Laskenta!B6+2,6)))&gt;0,CONCATENATE("Pika ",VLOOKUP((RIGHT(C17,7)),Pikavalintatiedot!B4:C54,2,TRUE)),""),"")</f>
        <v>Pika 9</v>
      </c>
      <c r="D18" s="83">
        <f ca="1">IF(INDIRECT(CONCATENATE("Tietokanta!",ADDRESS(Laskenta!B6+2,9)))&gt;0,INDIRECT(CONCATENATE("Tietokanta!",ADDRESS(Laskenta!B6+2,9))),"")</f>
      </c>
      <c r="E18" s="102">
        <f>IF(Laskenta!$B$22,IF(ISNUMBER(Laskenta!P6),Laskenta!P6,""),"")</f>
      </c>
      <c r="F18" s="97">
        <f>IF(Laskenta!$B$22,IF(ISNUMBER(Laskenta!Z6),Laskenta!Z6,""),"")</f>
      </c>
      <c r="G18" s="98">
        <f>IF(Laskenta!$B$22,IF(ISNUMBER(Laskenta!AA6),IF(Laskenta!$B$23,Laskenta!AA6,Laskenta!AA6),""),"")</f>
      </c>
      <c r="H18" s="98">
        <f>IF(Laskenta!$B$22,IF(ISNUMBER(Laskenta!M6),IF(Laskenta!$B$23,Laskenta!M6,Laskenta!M6/1.852),""),"")</f>
      </c>
      <c r="I18" s="97">
        <f>IF(Laskenta!$B$22,IF(ISNUMBER(H18),H18/G18*60,""),"")</f>
      </c>
      <c r="J18" s="98">
        <f>IF(Laskenta!$B$22,IF(ISNUMBER(H18),G18/12,""),"")</f>
      </c>
      <c r="K18" s="289">
        <f>IF(Laskenta!$B$22,IF(ISNUMBER(H18),$D$8/60*I18,""),"")</f>
      </c>
      <c r="L18" s="292">
        <f ca="1">IF(INDIRECT(CONCATENATE("Tietokanta!",ADDRESS(Laskenta!B6+2,15)))&gt;0,INDIRECT(CONCATENATE("Tietokanta!",ADDRESS(Laskenta!B6+2,15))),"")</f>
      </c>
      <c r="M18" s="292">
        <f ca="1">IF(INDIRECT(CONCATENATE("Tietokanta!",ADDRESS(Laskenta!B6+2,17)))&gt;0,INDIRECT(CONCATENATE("Tietokanta!",ADDRESS(Laskenta!B6+2,17))),"")</f>
      </c>
      <c r="N18" s="295"/>
      <c r="O18" s="61"/>
      <c r="P18" s="62"/>
      <c r="Q18" s="62"/>
      <c r="R18" s="62"/>
      <c r="T18" s="43"/>
      <c r="U18" s="42"/>
      <c r="V18" s="42"/>
      <c r="W18" s="42"/>
      <c r="Z18" s="66"/>
    </row>
    <row r="19" spans="1:27" ht="15.75" customHeight="1">
      <c r="A19" s="261">
        <f>IF(Laskenta!C7&lt;&gt;"",3,"")</f>
        <v>3</v>
      </c>
      <c r="B19" s="233"/>
      <c r="C19" s="64" t="str">
        <f ca="1">IF(INDIRECT(CONCATENATE("Tietokanta!",ADDRESS(Laskenta!B7+2,6)))&gt;0,INDIRECT(CONCATENATE("Tietokanta!",ADDRESS(Laskenta!B7+2,6))),"")</f>
        <v>AFIS 122.450</v>
      </c>
      <c r="D19" s="82">
        <f ca="1">IF(INDIRECT(CONCATENATE("Tietokanta!",ADDRESS(Laskenta!B7+2,8)))&gt;0,INDIRECT(CONCATENATE("Tietokanta!",ADDRESS(Laskenta!B7+2,8))),"")</f>
      </c>
      <c r="E19" s="99">
        <f>IF(Laskenta!$B$21,IF(ISNUMBER(Laskenta!P7),Laskenta!P7,""),"")</f>
        <v>179.29099624987094</v>
      </c>
      <c r="F19" s="101">
        <f>IF(Laskenta!$B$21,IF(ISNUMBER(Laskenta!Z7),Laskenta!Z7,""),"")</f>
        <v>171.95031740555655</v>
      </c>
      <c r="G19" s="100">
        <f>IF(Laskenta!$B$21,IF(ISNUMBER(Laskenta!AA7),IF(Laskenta!$B$23,Laskenta!AA7,Laskenta!AA7),""),"")</f>
        <v>189.87422963637934</v>
      </c>
      <c r="H19" s="100">
        <f>IF(Laskenta!$B$21,IF(ISNUMBER(Laskenta!M7),IF(Laskenta!$B$23,Laskenta!M7,Laskenta!M7/1.852),""),"")</f>
        <v>453.7484430314333</v>
      </c>
      <c r="I19" s="101">
        <f>IF(Laskenta!$B$21,IF(ISNUMBER(H19),H19/G19*60,""),"")</f>
        <v>143.38389487622067</v>
      </c>
      <c r="J19" s="100">
        <f>IF(Laskenta!$B$21,IF(ISNUMBER(H19),G19/12,""),"")</f>
        <v>15.822852469698278</v>
      </c>
      <c r="K19" s="290">
        <f>IF(Laskenta!$B$21,IF(ISNUMBER(H19),$D$8/60*I19,""),"")</f>
        <v>40.62543688159585</v>
      </c>
      <c r="L19" s="292" t="str">
        <f ca="1">IF(INDIRECT(CONCATENATE("Tietokanta!",ADDRESS(Laskenta!B7+2,14)))&gt;0,INDIRECT(CONCATENATE("Tietokanta!",ADDRESS(Laskenta!B7+2,14))),"")</f>
        <v>03/21</v>
      </c>
      <c r="M19" s="292" t="str">
        <f ca="1">IF(INDIRECT(CONCATENATE("Tietokanta!",ADDRESS(Laskenta!B7+2,16)))&gt;0,INDIRECT(CONCATENATE("Tietokanta!",ADDRESS(Laskenta!B7+2,16))),"")</f>
        <v>2001x45</v>
      </c>
      <c r="N19" s="295"/>
      <c r="O19" s="59"/>
      <c r="P19" s="48"/>
      <c r="Q19" s="48"/>
      <c r="R19" s="48"/>
      <c r="T19" s="43"/>
      <c r="U19" s="42"/>
      <c r="V19" s="42"/>
      <c r="W19" s="42"/>
      <c r="Z19" s="67"/>
      <c r="AA19" s="37"/>
    </row>
    <row r="20" spans="1:27" ht="12.75">
      <c r="A20" s="279">
        <f>IF(Laskenta!$B$24=0,(Laskenta!AB7),IF(Laskenta!$B$24,Laskenta!AC7))</f>
        <v>997.3753296</v>
      </c>
      <c r="B20" s="232" t="str">
        <f ca="1">IF(Laskenta!B25=TRUE,IF(INDIRECT(CONCATENATE("Tietokanta!",ADDRESS(Laskenta!B7+2,6)))&gt;0,INDIRECT(CONCATENATE("Tietokanta!",ADDRESS(Laskenta!B7+2,10))),""),"")</f>
        <v>ENONTEKIÖ</v>
      </c>
      <c r="C20" s="60" t="str">
        <f ca="1">IF(Laskenta!B20=TRUE,IF(INDIRECT(CONCATENATE("Tietokanta!",ADDRESS(Laskenta!B7+2,6)))&gt;0,CONCATENATE("Pika ",VLOOKUP((RIGHT(C19,7)),Pikavalintatiedot!B4:C54,2,TRUE)),""),"")</f>
        <v>Pika 12</v>
      </c>
      <c r="D20" s="83" t="str">
        <f ca="1">IF(INDIRECT(CONCATENATE("Tietokanta!",ADDRESS(Laskenta!B7+2,9)))&gt;0,INDIRECT(CONCATENATE("Tietokanta!",ADDRESS(Laskenta!B7+2,9))),"")</f>
        <v>ATIS 134.825</v>
      </c>
      <c r="E20" s="102">
        <f>IF(Laskenta!$B$22,IF(ISNUMBER(Laskenta!P7),Laskenta!P7,""),"")</f>
      </c>
      <c r="F20" s="97">
        <f>IF(Laskenta!$B$22,IF(ISNUMBER(Laskenta!Z7),Laskenta!Z7,""),"")</f>
      </c>
      <c r="G20" s="98">
        <f>IF(Laskenta!$B$22,IF(ISNUMBER(Laskenta!AA7),IF(Laskenta!$B$23,Laskenta!AA7,Laskenta!AA7),""),"")</f>
      </c>
      <c r="H20" s="98">
        <f>IF(Laskenta!$B$22,IF(ISNUMBER(Laskenta!M7),IF(Laskenta!$B$23,Laskenta!M7,Laskenta!M7/1.852),""),"")</f>
      </c>
      <c r="I20" s="97">
        <f>IF(Laskenta!$B$22,IF(ISNUMBER(H20),H20/G20*60,""),"")</f>
      </c>
      <c r="J20" s="98">
        <f>IF(Laskenta!$B$22,IF(ISNUMBER(H20),G20/12,""),"")</f>
      </c>
      <c r="K20" s="289">
        <f>IF(Laskenta!$B$22,IF(ISNUMBER(H20),$D$8/60*I20,""),"")</f>
      </c>
      <c r="L20" s="292">
        <f ca="1">IF(INDIRECT(CONCATENATE("Tietokanta!",ADDRESS(Laskenta!B7+2,15)))&gt;0,INDIRECT(CONCATENATE("Tietokanta!",ADDRESS(Laskenta!B7+2,15))),"")</f>
      </c>
      <c r="M20" s="292">
        <f ca="1">IF(INDIRECT(CONCATENATE("Tietokanta!",ADDRESS(Laskenta!B7+2,17)))&gt;0,INDIRECT(CONCATENATE("Tietokanta!",ADDRESS(Laskenta!B7+2,17))),"")</f>
      </c>
      <c r="N20" s="295"/>
      <c r="O20" s="61"/>
      <c r="P20" s="62"/>
      <c r="Q20" s="62"/>
      <c r="R20" s="62"/>
      <c r="T20" s="43"/>
      <c r="U20" s="42"/>
      <c r="V20" s="42"/>
      <c r="W20" s="42"/>
      <c r="Y20" s="68"/>
      <c r="Z20" s="63"/>
      <c r="AA20" s="63"/>
    </row>
    <row r="21" spans="1:28" ht="15.75" customHeight="1">
      <c r="A21" s="261">
        <f>IF(Laskenta!C8&lt;&gt;"",4,"")</f>
        <v>4</v>
      </c>
      <c r="B21" s="233"/>
      <c r="C21" s="64" t="str">
        <f ca="1">IF(INDIRECT(CONCATENATE("Tietokanta!",ADDRESS(Laskenta!B8+2,6)))&gt;0,INDIRECT(CONCATENATE("Tietokanta!",ADDRESS(Laskenta!B8+2,6))),"")</f>
        <v>123.150</v>
      </c>
      <c r="D21" s="82">
        <f ca="1">IF(INDIRECT(CONCATENATE("Tietokanta!",ADDRESS(Laskenta!B8+2,8)))&gt;0,INDIRECT(CONCATENATE("Tietokanta!",ADDRESS(Laskenta!B8+2,8))),"")</f>
      </c>
      <c r="E21" s="99">
        <f>IF(Laskenta!$B$21,IF(ISNUMBER(Laskenta!P8),Laskenta!P8,""),"")</f>
        <v>27.489402515723427</v>
      </c>
      <c r="F21" s="101">
        <f>IF(Laskenta!$B$21,IF(ISNUMBER(Laskenta!Z8),Laskenta!Z8,""),"")</f>
        <v>20.07584706663766</v>
      </c>
      <c r="G21" s="100">
        <f>IF(Laskenta!$B$21,IF(ISNUMBER(Laskenta!AA8),IF(Laskenta!$B$23,Laskenta!AA8,Laskenta!AA8),""),"")</f>
        <v>180.176781615838</v>
      </c>
      <c r="H21" s="100">
        <f>IF(Laskenta!$B$21,IF(ISNUMBER(Laskenta!M8),IF(Laskenta!$B$23,Laskenta!M8,Laskenta!M8/1.852),""),"")</f>
        <v>71.3131271030821</v>
      </c>
      <c r="I21" s="101">
        <f>IF(Laskenta!$B$21,IF(ISNUMBER(H21),H21/G21*60,""),"")</f>
        <v>23.747719255569216</v>
      </c>
      <c r="J21" s="100">
        <f>IF(Laskenta!$B$21,IF(ISNUMBER(H21),G21/12,""),"")</f>
        <v>15.014731801319833</v>
      </c>
      <c r="K21" s="290">
        <f>IF(Laskenta!$B$21,IF(ISNUMBER(H21),$D$8/60*I21,""),"")</f>
        <v>6.7285204557446106</v>
      </c>
      <c r="L21" s="292" t="str">
        <f ca="1">IF(INDIRECT(CONCATENATE("Tietokanta!",ADDRESS(Laskenta!B8+2,14)))&gt;0,INDIRECT(CONCATENATE("Tietokanta!",ADDRESS(Laskenta!B8+2,14))),"")</f>
        <v>04/22</v>
      </c>
      <c r="M21" s="292" t="str">
        <f ca="1">IF(INDIRECT(CONCATENATE("Tietokanta!",ADDRESS(Laskenta!B8+2,16)))&gt;0,INDIRECT(CONCATENATE("Tietokanta!",ADDRESS(Laskenta!B8+2,16))),"")</f>
        <v>820X32</v>
      </c>
      <c r="N21" s="295"/>
      <c r="O21" s="59"/>
      <c r="P21" s="48"/>
      <c r="T21" s="43"/>
      <c r="U21" s="42"/>
      <c r="V21" s="42"/>
      <c r="W21" s="42"/>
      <c r="X21" s="42"/>
      <c r="Y21" s="69"/>
      <c r="Z21" s="70"/>
      <c r="AA21" s="70"/>
      <c r="AB21" s="42"/>
    </row>
    <row r="22" spans="1:27" ht="12.75">
      <c r="A22" s="279">
        <f>IF(Laskenta!$B$24=0,(Laskenta!AB8),IF(Laskenta!$B$24,Laskenta!AC8))</f>
        <v>324.80315010000004</v>
      </c>
      <c r="B22" s="232" t="str">
        <f ca="1">IF(Laskenta!B25=TRUE,IF(INDIRECT(CONCATENATE("Tietokanta!",ADDRESS(Laskenta!B8+2,6)))&gt;0,INDIRECT(CONCATENATE("Tietokanta!",ADDRESS(Laskenta!B8+2,10))),""),"")</f>
        <v>FORSSA</v>
      </c>
      <c r="C22" s="60" t="str">
        <f ca="1">IF(Laskenta!B20=TRUE,IF(INDIRECT(CONCATENATE("Tietokanta!",ADDRESS(Laskenta!B8+2,6)))&gt;0,CONCATENATE("Pika ",VLOOKUP((RIGHT(C21,7)),Pikavalintatiedot!B4:C54,2,TRUE)),""),"")</f>
        <v>Pika 6</v>
      </c>
      <c r="D22" s="83">
        <f ca="1">IF(INDIRECT(CONCATENATE("Tietokanta!",ADDRESS(Laskenta!B8+2,9)))&gt;0,INDIRECT(CONCATENATE("Tietokanta!",ADDRESS(Laskenta!B8+2,9))),"")</f>
      </c>
      <c r="E22" s="102">
        <f>IF(Laskenta!$B$22,IF(ISNUMBER(Laskenta!P8),Laskenta!P8,""),"")</f>
      </c>
      <c r="F22" s="97">
        <f>IF(Laskenta!$B$22,IF(ISNUMBER(Laskenta!Z8),Laskenta!Z8,""),"")</f>
      </c>
      <c r="G22" s="98">
        <f>IF(Laskenta!$B$22,IF(ISNUMBER(Laskenta!AA8),IF(Laskenta!$B$23,Laskenta!AA8,Laskenta!AA8),""),"")</f>
      </c>
      <c r="H22" s="98">
        <f>IF(Laskenta!$B$22,IF(ISNUMBER(Laskenta!M8),IF(Laskenta!$B$23,Laskenta!M8,Laskenta!M8/1.852),""),"")</f>
      </c>
      <c r="I22" s="97">
        <f>IF(Laskenta!$B$22,IF(ISNUMBER(H22),H22/G22*60,""),"")</f>
      </c>
      <c r="J22" s="98">
        <f>IF(Laskenta!$B$22,IF(ISNUMBER(H22),G22/12,""),"")</f>
      </c>
      <c r="K22" s="289">
        <f>IF(Laskenta!$B$22,IF(ISNUMBER(H22),$D$8/60*I22,""),"")</f>
      </c>
      <c r="L22" s="292">
        <f ca="1">IF(INDIRECT(CONCATENATE("Tietokanta!",ADDRESS(Laskenta!B8+2,15)))&gt;0,INDIRECT(CONCATENATE("Tietokanta!",ADDRESS(Laskenta!B8+2,15))),"")</f>
      </c>
      <c r="M22" s="292">
        <f ca="1">IF(INDIRECT(CONCATENATE("Tietokanta!",ADDRESS(Laskenta!B8+2,17)))&gt;0,INDIRECT(CONCATENATE("Tietokanta!",ADDRESS(Laskenta!B8+2,17))),"")</f>
      </c>
      <c r="N22" s="295"/>
      <c r="O22" s="61"/>
      <c r="P22" s="62"/>
      <c r="T22" s="43"/>
      <c r="U22" s="42"/>
      <c r="V22" s="42"/>
      <c r="W22" s="42"/>
      <c r="Y22" s="68"/>
      <c r="Z22" s="63"/>
      <c r="AA22" s="63"/>
    </row>
    <row r="23" spans="1:27" ht="15.75" customHeight="1">
      <c r="A23" s="261">
        <f>IF(Laskenta!C9&lt;&gt;"",5,"")</f>
        <v>5</v>
      </c>
      <c r="B23" s="233"/>
      <c r="C23" s="64" t="str">
        <f ca="1">IF(INDIRECT(CONCATENATE("Tietokanta!",ADDRESS(Laskenta!B9+2,6)))&gt;0,INDIRECT(CONCATENATE("Tietokanta!",ADDRESS(Laskenta!B9+2,6))),"")</f>
        <v>TWR 128.900</v>
      </c>
      <c r="D23" s="82" t="str">
        <f ca="1">IF(INDIRECT(CONCATENATE("Tietokanta!",ADDRESS(Laskenta!B9+2,8)))&gt;0,INDIRECT(CONCATENATE("Tietokanta!",ADDRESS(Laskenta!B9+2,8))),"")</f>
        <v>APP 124.550</v>
      </c>
      <c r="E23" s="99">
        <f>IF(Laskenta!$B$21,IF(ISNUMBER(Laskenta!P9),Laskenta!P9,""),"")</f>
        <v>175.59636476787614</v>
      </c>
      <c r="F23" s="101">
        <f>IF(Laskenta!$B$21,IF(ISNUMBER(Laskenta!Z9),Laskenta!Z9,""),"")</f>
        <v>168.15905076090445</v>
      </c>
      <c r="G23" s="100">
        <f>IF(Laskenta!$B$21,IF(ISNUMBER(Laskenta!AA9),IF(Laskenta!$B$23,Laskenta!AA9,Laskenta!AA9),""),"")</f>
        <v>189.7910916304022</v>
      </c>
      <c r="H23" s="100">
        <f>IF(Laskenta!$B$21,IF(ISNUMBER(Laskenta!M9),IF(Laskenta!$B$23,Laskenta!M9,Laskenta!M9/1.852),""),"")</f>
        <v>96.42697235382838</v>
      </c>
      <c r="I23" s="101">
        <f>IF(Laskenta!$B$21,IF(ISNUMBER(H23),H23/G23*60,""),"")</f>
        <v>30.484140701906984</v>
      </c>
      <c r="J23" s="100">
        <f>IF(Laskenta!$B$21,IF(ISNUMBER(H23),G23/12,""),"")</f>
        <v>15.815924302533517</v>
      </c>
      <c r="K23" s="290">
        <f>IF(Laskenta!$B$21,IF(ISNUMBER(H23),$D$8/60*I23,""),"")</f>
        <v>8.637173198873645</v>
      </c>
      <c r="L23" s="292" t="str">
        <f ca="1">IF(INDIRECT(CONCATENATE("Tietokanta!",ADDRESS(Laskenta!B9+2,14)))&gt;0,INDIRECT(CONCATENATE("Tietokanta!",ADDRESS(Laskenta!B9+2,14))),"")</f>
        <v>08/26</v>
      </c>
      <c r="M23" s="292" t="str">
        <f ca="1">IF(INDIRECT(CONCATENATE("Tietokanta!",ADDRESS(Laskenta!B9+2,16)))&gt;0,INDIRECT(CONCATENATE("Tietokanta!",ADDRESS(Laskenta!B9+2,16))),"")</f>
        <v>2601x60</v>
      </c>
      <c r="N23" s="295"/>
      <c r="O23" s="59"/>
      <c r="P23" s="48"/>
      <c r="T23" s="43"/>
      <c r="U23" s="42"/>
      <c r="V23" s="42"/>
      <c r="W23" s="42"/>
      <c r="Y23" s="68"/>
      <c r="Z23" s="68"/>
      <c r="AA23" s="68"/>
    </row>
    <row r="24" spans="1:27" ht="12.75">
      <c r="A24" s="279">
        <f>IF(Laskenta!$B$24=0,(Laskenta!AB9),IF(Laskenta!$B$24,Laskenta!AC9))</f>
        <v>479.0026254</v>
      </c>
      <c r="B24" s="232" t="str">
        <f ca="1">IF(Laskenta!B25=TRUE,IF(INDIRECT(CONCATENATE("Tietokanta!",ADDRESS(Laskenta!B9+2,6)))&gt;0,INDIRECT(CONCATENATE("Tietokanta!",ADDRESS(Laskenta!B9+2,10))),""),"")</f>
        <v>HALLI</v>
      </c>
      <c r="C24" s="60" t="str">
        <f ca="1">IF(Laskenta!B20=TRUE,IF(INDIRECT(CONCATENATE("Tietokanta!",ADDRESS(Laskenta!B9+2,6)))&gt;0,CONCATENATE("Pika ",VLOOKUP((RIGHT(C23,7)),Pikavalintatiedot!B4:C54,2,TRUE)),""),"")</f>
        <v>Pika 43</v>
      </c>
      <c r="D24" s="83" t="str">
        <f ca="1">IF(INDIRECT(CONCATENATE("Tietokanta!",ADDRESS(Laskenta!B9+2,9)))&gt;0,INDIRECT(CONCATENATE("Tietokanta!",ADDRESS(Laskenta!B9+2,9))),"")</f>
        <v>ATIS 135.500</v>
      </c>
      <c r="E24" s="102">
        <f>IF(Laskenta!$B$22,IF(ISNUMBER(Laskenta!P9),Laskenta!P9,""),"")</f>
      </c>
      <c r="F24" s="97">
        <f>IF(Laskenta!$B$22,IF(ISNUMBER(Laskenta!Z9),Laskenta!Z9,""),"")</f>
      </c>
      <c r="G24" s="98">
        <f>IF(Laskenta!$B$22,IF(ISNUMBER(Laskenta!AA9),IF(Laskenta!$B$23,Laskenta!AA9,Laskenta!AA9),""),"")</f>
      </c>
      <c r="H24" s="98">
        <f>IF(Laskenta!$B$22,IF(ISNUMBER(Laskenta!M9),IF(Laskenta!$B$23,Laskenta!M9,Laskenta!M9/1.852),""),"")</f>
      </c>
      <c r="I24" s="97">
        <f>IF(Laskenta!$B$22,IF(ISNUMBER(H24),H24/G24*60,""),"")</f>
      </c>
      <c r="J24" s="98">
        <f>IF(Laskenta!$B$22,IF(ISNUMBER(H24),G24/12,""),"")</f>
      </c>
      <c r="K24" s="289">
        <f>IF(Laskenta!$B$22,IF(ISNUMBER(H24),$D$8/60*I24,""),"")</f>
      </c>
      <c r="L24" s="292">
        <f ca="1">IF(INDIRECT(CONCATENATE("Tietokanta!",ADDRESS(Laskenta!B9+2,15)))&gt;0,INDIRECT(CONCATENATE("Tietokanta!",ADDRESS(Laskenta!B9+2,15))),"")</f>
      </c>
      <c r="M24" s="292">
        <f ca="1">IF(INDIRECT(CONCATENATE("Tietokanta!",ADDRESS(Laskenta!B9+2,17)))&gt;0,INDIRECT(CONCATENATE("Tietokanta!",ADDRESS(Laskenta!B9+2,17))),"")</f>
      </c>
      <c r="N24" s="295"/>
      <c r="O24" s="61"/>
      <c r="P24" s="62"/>
      <c r="T24" s="43"/>
      <c r="U24" s="42"/>
      <c r="V24" s="42"/>
      <c r="W24" s="42"/>
      <c r="Y24" s="68"/>
      <c r="Z24" s="68"/>
      <c r="AA24" s="68"/>
    </row>
    <row r="25" spans="1:23" ht="15.75" customHeight="1">
      <c r="A25" s="261">
        <f>IF(Laskenta!C10&lt;&gt;"",6,"")</f>
        <v>6</v>
      </c>
      <c r="B25" s="233"/>
      <c r="C25" s="64" t="str">
        <f ca="1">IF(INDIRECT(CONCATENATE("Tietokanta!",ADDRESS(Laskenta!B10+2,6)))&gt;0,INDIRECT(CONCATENATE("Tietokanta!",ADDRESS(Laskenta!B10+2,6))),"")</f>
        <v>TWR 131.250</v>
      </c>
      <c r="D25" s="82" t="str">
        <f ca="1">IF(INDIRECT(CONCATENATE("Tietokanta!",ADDRESS(Laskenta!B10+2,8)))&gt;0,INDIRECT(CONCATENATE("Tietokanta!",ADDRESS(Laskenta!B10+2,8))),"")</f>
        <v>GND 121.600</v>
      </c>
      <c r="E25" s="99">
        <f>IF(Laskenta!$B$21,IF(ISNUMBER(Laskenta!P10),Laskenta!P10,""),"")</f>
        <v>308.53672497095704</v>
      </c>
      <c r="F25" s="101">
        <f>IF(Laskenta!$B$21,IF(ISNUMBER(Laskenta!Z10),Laskenta!Z10,""),"")</f>
        <v>302.92225364443175</v>
      </c>
      <c r="G25" s="100">
        <f>IF(Laskenta!$B$21,IF(ISNUMBER(Laskenta!AA10),IF(Laskenta!$B$23,Laskenta!AA10,Laskenta!AA10),""),"")</f>
        <v>182.71205458045102</v>
      </c>
      <c r="H25" s="100">
        <f>IF(Laskenta!$B$21,IF(ISNUMBER(Laskenta!M10),IF(Laskenta!$B$23,Laskenta!M10,Laskenta!M10/1.852),""),"")</f>
        <v>52.77664710719332</v>
      </c>
      <c r="I25" s="101">
        <f>IF(Laskenta!$B$21,IF(ISNUMBER(H25),H25/G25*60,""),"")</f>
        <v>17.331088710609926</v>
      </c>
      <c r="J25" s="100">
        <f>IF(Laskenta!$B$21,IF(ISNUMBER(H25),G25/12,""),"")</f>
        <v>15.226004548370918</v>
      </c>
      <c r="K25" s="290">
        <f>IF(Laskenta!$B$21,IF(ISNUMBER(H25),$D$8/60*I25,""),"")</f>
        <v>4.910475134672812</v>
      </c>
      <c r="L25" s="292" t="str">
        <f ca="1">IF(INDIRECT(CONCATENATE("Tietokanta!",ADDRESS(Laskenta!B10+2,14)))&gt;0,INDIRECT(CONCATENATE("Tietokanta!",ADDRESS(Laskenta!B10+2,14))),"")</f>
        <v>18/36</v>
      </c>
      <c r="M25" s="292" t="str">
        <f ca="1">IF(INDIRECT(CONCATENATE("Tietokanta!",ADDRESS(Laskenta!B10+2,16)))&gt;0,INDIRECT(CONCATENATE("Tietokanta!",ADDRESS(Laskenta!B10+2,16))),"")</f>
        <v>1340x30</v>
      </c>
      <c r="N25" s="295"/>
      <c r="O25" s="59"/>
      <c r="P25" s="48"/>
      <c r="T25" s="43"/>
      <c r="U25" s="42"/>
      <c r="V25" s="42"/>
      <c r="W25" s="42"/>
    </row>
    <row r="26" spans="1:23" ht="12.75">
      <c r="A26" s="279">
        <f>IF(Laskenta!$B$24=0,(Laskenta!AB10),IF(Laskenta!$B$24,Laskenta!AC10))</f>
        <v>55.774278300000006</v>
      </c>
      <c r="B26" s="232" t="str">
        <f ca="1">IF(Laskenta!B25=TRUE,IF(INDIRECT(CONCATENATE("Tietokanta!",ADDRESS(Laskenta!B10+2,6)))&gt;0,INDIRECT(CONCATENATE("Tietokanta!",ADDRESS(Laskenta!B10+2,10))),""),"")</f>
        <v>MALMI</v>
      </c>
      <c r="C26" s="60" t="str">
        <f ca="1">IF(Laskenta!B20=TRUE,IF(INDIRECT(CONCATENATE("Tietokanta!",ADDRESS(Laskenta!B10+2,6)))&gt;0,CONCATENATE("Pika ",VLOOKUP((RIGHT(C25,7)),Pikavalintatiedot!B4:C54,2,TRUE)),""),"")</f>
        <v>Pika 4</v>
      </c>
      <c r="D26" s="83" t="str">
        <f ca="1">IF(INDIRECT(CONCATENATE("Tietokanta!",ADDRESS(Laskenta!B10+2,9)))&gt;0,INDIRECT(CONCATENATE("Tietokanta!",ADDRESS(Laskenta!B10+2,9))),"")</f>
        <v>ATIS 122.700</v>
      </c>
      <c r="E26" s="102">
        <f>IF(Laskenta!$B$22,IF(ISNUMBER(Laskenta!P10),Laskenta!P10,""),"")</f>
      </c>
      <c r="F26" s="97">
        <f>IF(Laskenta!$B$22,IF(ISNUMBER(Laskenta!Z10),Laskenta!Z10,""),"")</f>
      </c>
      <c r="G26" s="98">
        <f>IF(Laskenta!$B$22,IF(ISNUMBER(Laskenta!AA10),IF(Laskenta!$B$23,Laskenta!AA10,Laskenta!AA10),""),"")</f>
      </c>
      <c r="H26" s="98">
        <f>IF(Laskenta!$B$22,IF(ISNUMBER(Laskenta!M10),IF(Laskenta!$B$23,Laskenta!M10,Laskenta!M10/1.852),""),"")</f>
      </c>
      <c r="I26" s="97">
        <f>IF(Laskenta!$B$22,IF(ISNUMBER(H26),H26/G26*60,""),"")</f>
      </c>
      <c r="J26" s="98">
        <f>IF(Laskenta!$B$22,IF(ISNUMBER(H26),G26/12,""),"")</f>
      </c>
      <c r="K26" s="289">
        <f>IF(Laskenta!$B$22,IF(ISNUMBER(H26),$D$8/60*I26,""),"")</f>
      </c>
      <c r="L26" s="292" t="str">
        <f ca="1">IF(INDIRECT(CONCATENATE("Tietokanta!",ADDRESS(Laskenta!B10+2,15)))&gt;0,INDIRECT(CONCATENATE("Tietokanta!",ADDRESS(Laskenta!B10+2,15))),"")</f>
        <v>09/27</v>
      </c>
      <c r="M26" s="292" t="str">
        <f ca="1">IF(INDIRECT(CONCATENATE("Tietokanta!",ADDRESS(Laskenta!B10+2,17)))&gt;0,INDIRECT(CONCATENATE("Tietokanta!",ADDRESS(Laskenta!B10+2,17))),"")</f>
        <v>1024x30</v>
      </c>
      <c r="N26" s="295"/>
      <c r="O26" s="61"/>
      <c r="P26" s="62"/>
      <c r="Q26" s="62"/>
      <c r="R26" s="62"/>
      <c r="T26" s="43"/>
      <c r="U26" s="42"/>
      <c r="V26" s="42"/>
      <c r="W26" s="42"/>
    </row>
    <row r="27" spans="1:23" ht="15.75" customHeight="1">
      <c r="A27" s="261">
        <f>IF(Laskenta!C11&lt;&gt;"",7,"")</f>
        <v>7</v>
      </c>
      <c r="B27" s="233"/>
      <c r="C27" s="64" t="str">
        <f ca="1">IF(INDIRECT(CONCATENATE("Tietokanta!",ADDRESS(Laskenta!B11+2,6)))&gt;0,INDIRECT(CONCATENATE("Tietokanta!",ADDRESS(Laskenta!B11+2,6))),"")</f>
        <v>123.150</v>
      </c>
      <c r="D27" s="82">
        <f ca="1">IF(INDIRECT(CONCATENATE("Tietokanta!",ADDRESS(Laskenta!B11+2,8)))&gt;0,INDIRECT(CONCATENATE("Tietokanta!",ADDRESS(Laskenta!B11+2,8))),"")</f>
      </c>
      <c r="E27" s="99">
        <f>IF(Laskenta!$B$21,IF(ISNUMBER(Laskenta!P11),Laskenta!P11,""),"")</f>
        <v>6.609575624824643</v>
      </c>
      <c r="F27" s="101">
        <f>IF(Laskenta!$B$21,IF(ISNUMBER(Laskenta!Z11),Laskenta!Z11,""),"")</f>
        <v>359.7550481045557</v>
      </c>
      <c r="G27" s="100">
        <f>IF(Laskenta!$B$21,IF(ISNUMBER(Laskenta!AA11),IF(Laskenta!$B$23,Laskenta!AA11,Laskenta!AA11),""),"")</f>
        <v>180.02151531614925</v>
      </c>
      <c r="H27" s="100">
        <f>IF(Laskenta!$B$21,IF(ISNUMBER(Laskenta!M11),IF(Laskenta!$B$23,Laskenta!M11,Laskenta!M11/1.852),""),"")</f>
        <v>251.55193881415406</v>
      </c>
      <c r="I27" s="101">
        <f>IF(Laskenta!$B$21,IF(ISNUMBER(H27),H27/G27*60,""),"")</f>
        <v>83.8406248405536</v>
      </c>
      <c r="J27" s="100">
        <f>IF(Laskenta!$B$21,IF(ISNUMBER(H27),G27/12,""),"")</f>
        <v>15.001792943012438</v>
      </c>
      <c r="K27" s="290">
        <f>IF(Laskenta!$B$21,IF(ISNUMBER(H27),$D$8/60*I27,""),"")</f>
        <v>23.75484370482352</v>
      </c>
      <c r="L27" s="292" t="str">
        <f ca="1">IF(INDIRECT(CONCATENATE("Tietokanta!",ADDRESS(Laskenta!B11+2,14)))&gt;0,INDIRECT(CONCATENATE("Tietokanta!",ADDRESS(Laskenta!B11+2,14))),"")</f>
        <v>04/22</v>
      </c>
      <c r="M27" s="292" t="str">
        <f ca="1">IF(INDIRECT(CONCATENATE("Tietokanta!",ADDRESS(Laskenta!B11+2,16)))&gt;0,INDIRECT(CONCATENATE("Tietokanta!",ADDRESS(Laskenta!B11+2,16))),"")</f>
        <v>820X32</v>
      </c>
      <c r="N27" s="295"/>
      <c r="O27" s="59"/>
      <c r="P27" s="48"/>
      <c r="Q27" s="48"/>
      <c r="R27" s="48"/>
      <c r="T27" s="43"/>
      <c r="U27" s="42"/>
      <c r="V27" s="42"/>
      <c r="W27" s="42"/>
    </row>
    <row r="28" spans="1:23" ht="12.75">
      <c r="A28" s="279">
        <f>IF(Laskenta!$B$24=0,(Laskenta!AB11),IF(Laskenta!$B$24,Laskenta!AC11))</f>
        <v>324.80315010000004</v>
      </c>
      <c r="B28" s="232" t="str">
        <f ca="1">IF(Laskenta!B25=TRUE,IF(INDIRECT(CONCATENATE("Tietokanta!",ADDRESS(Laskenta!B11+2,6)))&gt;0,INDIRECT(CONCATENATE("Tietokanta!",ADDRESS(Laskenta!B11+2,10))),""),"")</f>
        <v>FORSSA</v>
      </c>
      <c r="C28" s="60" t="str">
        <f ca="1">IF(Laskenta!B20=TRUE,IF(INDIRECT(CONCATENATE("Tietokanta!",ADDRESS(Laskenta!B11+2,6)))&gt;0,CONCATENATE("Pika ",VLOOKUP((RIGHT(C27,7)),Pikavalintatiedot!B4:C54,2,TRUE)),""),"")</f>
        <v>Pika 6</v>
      </c>
      <c r="D28" s="83">
        <f ca="1">IF(INDIRECT(CONCATENATE("Tietokanta!",ADDRESS(Laskenta!B11+2,9)))&gt;0,INDIRECT(CONCATENATE("Tietokanta!",ADDRESS(Laskenta!B11+2,9))),"")</f>
      </c>
      <c r="E28" s="102">
        <f>IF(Laskenta!$B$22,IF(ISNUMBER(Laskenta!P11),Laskenta!P11,""),"")</f>
      </c>
      <c r="F28" s="97">
        <f>IF(Laskenta!$B$22,IF(ISNUMBER(Laskenta!Z11),Laskenta!Z11,""),"")</f>
      </c>
      <c r="G28" s="98">
        <f>IF(Laskenta!$B$22,IF(ISNUMBER(Laskenta!AA11),IF(Laskenta!$B$23,Laskenta!AA11,Laskenta!AA11),""),"")</f>
      </c>
      <c r="H28" s="98">
        <f>IF(Laskenta!$B$22,IF(ISNUMBER(Laskenta!M11),IF(Laskenta!$B$23,Laskenta!M11,Laskenta!M11/1.852),""),"")</f>
      </c>
      <c r="I28" s="97">
        <f>IF(Laskenta!$B$22,IF(ISNUMBER(H28),H28/G28*60,""),"")</f>
      </c>
      <c r="J28" s="98">
        <f>IF(Laskenta!$B$22,IF(ISNUMBER(H28),G28/12,""),"")</f>
      </c>
      <c r="K28" s="289">
        <f>IF(Laskenta!$B$22,IF(ISNUMBER(H28),$D$8/60*I28,""),"")</f>
      </c>
      <c r="L28" s="292">
        <f ca="1">IF(INDIRECT(CONCATENATE("Tietokanta!",ADDRESS(Laskenta!B11+2,15)))&gt;0,INDIRECT(CONCATENATE("Tietokanta!",ADDRESS(Laskenta!B11+2,15))),"")</f>
      </c>
      <c r="M28" s="292">
        <f ca="1">IF(INDIRECT(CONCATENATE("Tietokanta!",ADDRESS(Laskenta!B11+2,17)))&gt;0,INDIRECT(CONCATENATE("Tietokanta!",ADDRESS(Laskenta!B11+2,17))),"")</f>
      </c>
      <c r="N28" s="295"/>
      <c r="O28" s="61"/>
      <c r="P28" s="62"/>
      <c r="Q28" s="62"/>
      <c r="R28" s="62"/>
      <c r="T28" s="43"/>
      <c r="U28" s="42"/>
      <c r="V28" s="42"/>
      <c r="W28" s="42"/>
    </row>
    <row r="29" spans="1:23" ht="15.75" customHeight="1">
      <c r="A29" s="259">
        <f>IF(Laskenta!C12&lt;&gt;"",8,"")</f>
        <v>8</v>
      </c>
      <c r="B29" s="234"/>
      <c r="C29" s="64" t="str">
        <f ca="1">IF(INDIRECT(CONCATENATE("Tietokanta!",ADDRESS(Laskenta!B12+2,6)))&gt;0,INDIRECT(CONCATENATE("Tietokanta!",ADDRESS(Laskenta!B12+2,6))),"")</f>
        <v>123.400</v>
      </c>
      <c r="D29" s="82">
        <f ca="1">IF(INDIRECT(CONCATENATE("Tietokanta!",ADDRESS(Laskenta!B12+2,8)))&gt;0,INDIRECT(CONCATENATE("Tietokanta!",ADDRESS(Laskenta!B12+2,8))),"")</f>
      </c>
      <c r="E29" s="99">
        <f>IF(Laskenta!$B$21,IF(ISNUMBER(Laskenta!P12),Laskenta!P12,""),"")</f>
        <v>191.71191317984875</v>
      </c>
      <c r="F29" s="101">
        <f>IF(Laskenta!$B$21,IF(ISNUMBER(Laskenta!Z12),Laskenta!Z12,""),"")</f>
        <v>184.7041270823578</v>
      </c>
      <c r="G29" s="100">
        <f>IF(Laskenta!$B$21,IF(ISNUMBER(Laskenta!AA12),IF(Laskenta!$B$23,Laskenta!AA12,Laskenta!AA12),""),"")</f>
        <v>189.9999350883858</v>
      </c>
      <c r="H29" s="100">
        <f>IF(Laskenta!$B$21,IF(ISNUMBER(Laskenta!M12),IF(Laskenta!$B$23,Laskenta!M12,Laskenta!M12/1.852),""),"")</f>
        <v>147.79883495253983</v>
      </c>
      <c r="I29" s="101">
        <f>IF(Laskenta!$B$21,IF(ISNUMBER(H29),H29/G29*60,""),"")</f>
        <v>46.67333224628277</v>
      </c>
      <c r="J29" s="100">
        <f>IF(Laskenta!$B$21,IF(ISNUMBER(H29),G29/12,""),"")</f>
        <v>15.83332792403215</v>
      </c>
      <c r="K29" s="290">
        <f>IF(Laskenta!$B$21,IF(ISNUMBER(H29),$D$8/60*I29,""),"")</f>
        <v>13.22411080311345</v>
      </c>
      <c r="L29" s="292" t="str">
        <f ca="1">IF(INDIRECT(CONCATENATE("Tietokanta!",ADDRESS(Laskenta!B12+2,14)))&gt;0,INDIRECT(CONCATENATE("Tietokanta!",ADDRESS(Laskenta!B12+2,14))),"")</f>
        <v>06/24</v>
      </c>
      <c r="M29" s="292" t="str">
        <f ca="1">IF(INDIRECT(CONCATENATE("Tietokanta!",ADDRESS(Laskenta!B12+2,16)))&gt;0,INDIRECT(CONCATENATE("Tietokanta!",ADDRESS(Laskenta!B12+2,16))),"")</f>
        <v>500X15</v>
      </c>
      <c r="N29" s="295"/>
      <c r="O29" s="59"/>
      <c r="P29" s="48"/>
      <c r="Q29" s="48"/>
      <c r="R29" s="48"/>
      <c r="T29" s="43"/>
      <c r="U29" s="42"/>
      <c r="V29" s="42"/>
      <c r="W29" s="42"/>
    </row>
    <row r="30" spans="1:23" ht="12.75">
      <c r="A30" s="279">
        <f>IF(Laskenta!$B$24=0,(Laskenta!AB12),IF(Laskenta!$B$24,Laskenta!AC12))</f>
        <v>6.5616798</v>
      </c>
      <c r="B30" s="232" t="str">
        <f ca="1">IF(Laskenta!B25=TRUE,IF(INDIRECT(CONCATENATE("Tietokanta!",ADDRESS(Laskenta!B12+2,6)))&gt;0,INDIRECT(CONCATENATE("Tietokanta!",ADDRESS(Laskenta!B12+2,10))),""),"")</f>
        <v>HAILUOTO</v>
      </c>
      <c r="C30" s="60" t="str">
        <f ca="1">IF(Laskenta!B20=TRUE,IF(INDIRECT(CONCATENATE("Tietokanta!",ADDRESS(Laskenta!B12+2,6)))&gt;0,CONCATENATE("Pika ",VLOOKUP((RIGHT(C29,7)),Pikavalintatiedot!B4:C54,2,TRUE)),""),"")</f>
        <v>Pika 8</v>
      </c>
      <c r="D30" s="83">
        <f ca="1">IF(INDIRECT(CONCATENATE("Tietokanta!",ADDRESS(Laskenta!B12+2,9)))&gt;0,INDIRECT(CONCATENATE("Tietokanta!",ADDRESS(Laskenta!B12+2,9))),"")</f>
      </c>
      <c r="E30" s="102">
        <f>IF(Laskenta!$B$22,IF(ISNUMBER(Laskenta!P12),Laskenta!P12,""),"")</f>
      </c>
      <c r="F30" s="97">
        <f>IF(Laskenta!$B$22,IF(ISNUMBER(Laskenta!Z12),Laskenta!Z12,""),"")</f>
      </c>
      <c r="G30" s="98">
        <f>IF(Laskenta!$B$22,IF(ISNUMBER(Laskenta!AA12),IF(Laskenta!$B$23,Laskenta!AA12,Laskenta!AA12),""),"")</f>
      </c>
      <c r="H30" s="98">
        <f>IF(Laskenta!$B$22,IF(ISNUMBER(Laskenta!M12),IF(Laskenta!$B$23,Laskenta!M12,Laskenta!M12/1.852),""),"")</f>
      </c>
      <c r="I30" s="97">
        <f>IF(Laskenta!$B$22,IF(ISNUMBER(H30),H30/G30*60,""),"")</f>
      </c>
      <c r="J30" s="98">
        <f>IF(Laskenta!$B$22,IF(ISNUMBER(H30),G30/12,""),"")</f>
      </c>
      <c r="K30" s="289">
        <f>IF(Laskenta!$B$22,IF(ISNUMBER(H30),$D$8/60*I30,""),"")</f>
      </c>
      <c r="L30" s="292">
        <f ca="1">IF(INDIRECT(CONCATENATE("Tietokanta!",ADDRESS(Laskenta!B12+2,15)))&gt;0,INDIRECT(CONCATENATE("Tietokanta!",ADDRESS(Laskenta!B12+2,15))),"")</f>
      </c>
      <c r="M30" s="292">
        <f ca="1">IF(INDIRECT(CONCATENATE("Tietokanta!",ADDRESS(Laskenta!B12+2,17)))&gt;0,INDIRECT(CONCATENATE("Tietokanta!",ADDRESS(Laskenta!B12+2,17))),"")</f>
      </c>
      <c r="N30" s="295"/>
      <c r="O30" s="61"/>
      <c r="P30" s="62"/>
      <c r="Q30" s="62"/>
      <c r="R30" s="62"/>
      <c r="T30" s="43"/>
      <c r="U30" s="42"/>
      <c r="V30" s="42"/>
      <c r="W30" s="42"/>
    </row>
    <row r="31" spans="1:23" ht="15.75" customHeight="1">
      <c r="A31" s="259">
        <f>IF(Laskenta!C13&lt;&gt;"",9,"")</f>
        <v>9</v>
      </c>
      <c r="B31" s="234"/>
      <c r="C31" s="64" t="str">
        <f ca="1">IF(INDIRECT(CONCATENATE("Tietokanta!",ADDRESS(Laskenta!B13+2,6)))&gt;0,INDIRECT(CONCATENATE("Tietokanta!",ADDRESS(Laskenta!B13+2,6))),"")</f>
        <v>123.500</v>
      </c>
      <c r="D31" s="82">
        <f ca="1">IF(INDIRECT(CONCATENATE("Tietokanta!",ADDRESS(Laskenta!B13+2,8)))&gt;0,INDIRECT(CONCATENATE("Tietokanta!",ADDRESS(Laskenta!B13+2,8))),"")</f>
      </c>
      <c r="E31" s="99">
        <f>IF(Laskenta!$B$21,IF(ISNUMBER(Laskenta!P13),Laskenta!P13,""),"")</f>
        <v>178.8801448523634</v>
      </c>
      <c r="F31" s="101">
        <f>IF(Laskenta!$B$21,IF(ISNUMBER(Laskenta!Z13),Laskenta!Z13,""),"")</f>
        <v>171.52864262061536</v>
      </c>
      <c r="G31" s="100">
        <f>IF(Laskenta!$B$21,IF(ISNUMBER(Laskenta!AA13),IF(Laskenta!$B$23,Laskenta!AA13,Laskenta!AA13),""),"")</f>
        <v>189.8660054490894</v>
      </c>
      <c r="H31" s="100">
        <f>IF(Laskenta!$B$21,IF(ISNUMBER(Laskenta!M13),IF(Laskenta!$B$23,Laskenta!M13,Laskenta!M13/1.852),""),"")</f>
        <v>105.17834312761316</v>
      </c>
      <c r="I31" s="101">
        <f>IF(Laskenta!$B$21,IF(ISNUMBER(H31),H31/G31*60,""),"")</f>
        <v>33.23765395880169</v>
      </c>
      <c r="J31" s="100">
        <f>IF(Laskenta!$B$21,IF(ISNUMBER(H31),G31/12,""),"")</f>
        <v>15.82216712075745</v>
      </c>
      <c r="K31" s="290">
        <f>IF(Laskenta!$B$21,IF(ISNUMBER(H31),$D$8/60*I31,""),"")</f>
        <v>9.417335288327145</v>
      </c>
      <c r="L31" s="292" t="str">
        <f ca="1">IF(INDIRECT(CONCATENATE("Tietokanta!",ADDRESS(Laskenta!B13+2,14)))&gt;0,INDIRECT(CONCATENATE("Tietokanta!",ADDRESS(Laskenta!B13+2,14))),"")</f>
        <v>08/26</v>
      </c>
      <c r="M31" s="292" t="str">
        <f ca="1">IF(INDIRECT(CONCATENATE("Tietokanta!",ADDRESS(Laskenta!B13+2,16)))&gt;0,INDIRECT(CONCATENATE("Tietokanta!",ADDRESS(Laskenta!B13+2,16))),"")</f>
        <v>750x18</v>
      </c>
      <c r="N31" s="295"/>
      <c r="O31" s="59"/>
      <c r="P31" s="48"/>
      <c r="Q31" s="48"/>
      <c r="R31" s="48"/>
      <c r="T31" s="43"/>
      <c r="U31" s="42"/>
      <c r="V31" s="42"/>
      <c r="W31" s="42"/>
    </row>
    <row r="32" spans="1:23" ht="12.75">
      <c r="A32" s="279">
        <f>IF(Laskenta!$B$24=0,(Laskenta!AB13),IF(Laskenta!$B$24,Laskenta!AC13))</f>
        <v>406.8241476</v>
      </c>
      <c r="B32" s="232" t="str">
        <f ca="1">IF(Laskenta!B25=TRUE,IF(INDIRECT(CONCATENATE("Tietokanta!",ADDRESS(Laskenta!B13+2,6)))&gt;0,INDIRECT(CONCATENATE("Tietokanta!",ADDRESS(Laskenta!B13+2,10))),""),"")</f>
        <v>ALAVUS</v>
      </c>
      <c r="C32" s="60" t="str">
        <f ca="1">IF(Laskenta!B20=TRUE,IF(INDIRECT(CONCATENATE("Tietokanta!",ADDRESS(Laskenta!B13+2,6)))&gt;0,CONCATENATE("Pika ",VLOOKUP((RIGHT(C31,7)),Pikavalintatiedot!B4:C54,2,TRUE)),""),"")</f>
        <v>Pika 10</v>
      </c>
      <c r="D32" s="83">
        <f ca="1">IF(INDIRECT(CONCATENATE("Tietokanta!",ADDRESS(Laskenta!B13+2,9)))&gt;0,INDIRECT(CONCATENATE("Tietokanta!",ADDRESS(Laskenta!B13+2,9))),"")</f>
      </c>
      <c r="E32" s="102">
        <f>IF(Laskenta!$B$22,IF(ISNUMBER(Laskenta!P13),Laskenta!P13,""),"")</f>
      </c>
      <c r="F32" s="97">
        <f>IF(Laskenta!$B$22,IF(ISNUMBER(Laskenta!Z13),Laskenta!Z13,""),"")</f>
      </c>
      <c r="G32" s="98">
        <f>IF(Laskenta!$B$22,IF(ISNUMBER(Laskenta!AA13),IF(Laskenta!$B$23,Laskenta!AA13,Laskenta!AA13),""),"")</f>
      </c>
      <c r="H32" s="98">
        <f>IF(Laskenta!$B$22,IF(ISNUMBER(Laskenta!M13),IF(Laskenta!$B$23,Laskenta!M13,Laskenta!M13/1.852),""),"")</f>
      </c>
      <c r="I32" s="97">
        <f>IF(Laskenta!$B$22,IF(ISNUMBER(H32),H32/G32*60,""),"")</f>
      </c>
      <c r="J32" s="98">
        <f>IF(Laskenta!$B$22,IF(ISNUMBER(H32),G32/12,""),"")</f>
      </c>
      <c r="K32" s="289">
        <f>IF(Laskenta!$B$22,IF(ISNUMBER(H32),$D$8/60*I32,""),"")</f>
      </c>
      <c r="L32" s="292">
        <f ca="1">IF(INDIRECT(CONCATENATE("Tietokanta!",ADDRESS(Laskenta!B13+2,15)))&gt;0,INDIRECT(CONCATENATE("Tietokanta!",ADDRESS(Laskenta!B13+2,15))),"")</f>
      </c>
      <c r="M32" s="292">
        <f ca="1">IF(INDIRECT(CONCATENATE("Tietokanta!",ADDRESS(Laskenta!B13+2,17)))&gt;0,INDIRECT(CONCATENATE("Tietokanta!",ADDRESS(Laskenta!B13+2,17))),"")</f>
      </c>
      <c r="N32" s="295"/>
      <c r="O32" s="61"/>
      <c r="P32" s="62"/>
      <c r="Q32" s="62"/>
      <c r="R32" s="62"/>
      <c r="T32" s="43"/>
      <c r="U32" s="42"/>
      <c r="V32" s="42"/>
      <c r="W32" s="42"/>
    </row>
    <row r="33" spans="1:28" ht="15.75" customHeight="1">
      <c r="A33" s="259">
        <f>IF(Laskenta!C14&lt;&gt;"",10,"")</f>
        <v>10</v>
      </c>
      <c r="B33" s="234"/>
      <c r="C33" s="64" t="str">
        <f ca="1">IF(INDIRECT(CONCATENATE("Tietokanta!",ADDRESS(Laskenta!B14+2,6)))&gt;0,INDIRECT(CONCATENATE("Tietokanta!",ADDRESS(Laskenta!B14+2,6))),"")</f>
        <v>123.150</v>
      </c>
      <c r="D33" s="82">
        <f ca="1">IF(INDIRECT(CONCATENATE("Tietokanta!",ADDRESS(Laskenta!B14+2,8)))&gt;0,INDIRECT(CONCATENATE("Tietokanta!",ADDRESS(Laskenta!B14+2,8))),"")</f>
      </c>
      <c r="E33" s="99">
        <f>IF(Laskenta!$B$21,IF(ISNUMBER(Laskenta!P14),Laskenta!P14,""),"")</f>
        <v>1.1952885204995027</v>
      </c>
      <c r="F33" s="101">
        <f>IF(Laskenta!$B$21,IF(ISNUMBER(Laskenta!Z14),Laskenta!Z14,""),"")</f>
        <v>354.48558128883076</v>
      </c>
      <c r="G33" s="100">
        <f>IF(Laskenta!$B$21,IF(ISNUMBER(Laskenta!AA14),IF(Laskenta!$B$23,Laskenta!AA14,Laskenta!AA14),""),"")</f>
        <v>180.08626632853606</v>
      </c>
      <c r="H33" s="100">
        <f>IF(Laskenta!$B$21,IF(ISNUMBER(Laskenta!M14),IF(Laskenta!$B$23,Laskenta!M14,Laskenta!M14/1.852),""),"")</f>
        <v>408.1561684930135</v>
      </c>
      <c r="I33" s="101">
        <f>IF(Laskenta!$B$21,IF(ISNUMBER(H33),H33/G33*60,""),"")</f>
        <v>135.98688344676</v>
      </c>
      <c r="J33" s="100">
        <f>IF(Laskenta!$B$21,IF(ISNUMBER(H33),G33/12,""),"")</f>
        <v>15.007188860711338</v>
      </c>
      <c r="K33" s="290">
        <f>IF(Laskenta!$B$21,IF(ISNUMBER(H33),$D$8/60*I33,""),"")</f>
        <v>38.529616976582</v>
      </c>
      <c r="L33" s="292" t="str">
        <f ca="1">IF(INDIRECT(CONCATENATE("Tietokanta!",ADDRESS(Laskenta!B14+2,14)))&gt;0,INDIRECT(CONCATENATE("Tietokanta!",ADDRESS(Laskenta!B14+2,14))),"")</f>
        <v>04/22</v>
      </c>
      <c r="M33" s="292" t="str">
        <f ca="1">IF(INDIRECT(CONCATENATE("Tietokanta!",ADDRESS(Laskenta!B14+2,16)))&gt;0,INDIRECT(CONCATENATE("Tietokanta!",ADDRESS(Laskenta!B14+2,16))),"")</f>
        <v>820X32</v>
      </c>
      <c r="N33" s="295"/>
      <c r="O33" s="59"/>
      <c r="P33" s="48"/>
      <c r="Q33" s="48"/>
      <c r="R33" s="48"/>
      <c r="T33" s="43"/>
      <c r="U33" s="42"/>
      <c r="V33" s="42"/>
      <c r="W33" s="42"/>
      <c r="AA33" s="68"/>
      <c r="AB33" s="68"/>
    </row>
    <row r="34" spans="1:23" ht="12.75">
      <c r="A34" s="279">
        <f>IF(Laskenta!$B$24=0,(Laskenta!AB14),IF(Laskenta!$B$24,Laskenta!AC14))</f>
        <v>324.80315010000004</v>
      </c>
      <c r="B34" s="232" t="str">
        <f ca="1">IF(Laskenta!B25=TRUE,IF(INDIRECT(CONCATENATE("Tietokanta!",ADDRESS(Laskenta!B14+2,6)))&gt;0,INDIRECT(CONCATENATE("Tietokanta!",ADDRESS(Laskenta!B14+2,10))),""),"")</f>
        <v>FORSSA</v>
      </c>
      <c r="C34" s="60" t="str">
        <f ca="1">IF(Laskenta!B20=TRUE,IF(INDIRECT(CONCATENATE("Tietokanta!",ADDRESS(Laskenta!B14+2,6)))&gt;0,CONCATENATE("Pika ",VLOOKUP((RIGHT(C33,7)),Pikavalintatiedot!B4:C54,2,TRUE)),""),"")</f>
        <v>Pika 6</v>
      </c>
      <c r="D34" s="83">
        <f ca="1">IF(INDIRECT(CONCATENATE("Tietokanta!",ADDRESS(Laskenta!B14+2,9)))&gt;0,INDIRECT(CONCATENATE("Tietokanta!",ADDRESS(Laskenta!B14+2,9))),"")</f>
      </c>
      <c r="E34" s="102">
        <f>IF(Laskenta!$B$22,IF(ISNUMBER(Laskenta!P14),Laskenta!P14,""),"")</f>
      </c>
      <c r="F34" s="97">
        <f>IF(Laskenta!$B$22,IF(ISNUMBER(Laskenta!Z14),Laskenta!Z14,""),"")</f>
      </c>
      <c r="G34" s="98">
        <f>IF(Laskenta!$B$22,IF(ISNUMBER(Laskenta!AA14),IF(Laskenta!$B$23,Laskenta!AA14,Laskenta!AA14),""),"")</f>
      </c>
      <c r="H34" s="98">
        <f>IF(Laskenta!$B$22,IF(ISNUMBER(Laskenta!M14),IF(Laskenta!$B$23,Laskenta!M14,Laskenta!M14/1.852),""),"")</f>
      </c>
      <c r="I34" s="97">
        <f>IF(Laskenta!$B$22,IF(ISNUMBER(H34),H34/G34*60,""),"")</f>
      </c>
      <c r="J34" s="98">
        <f>IF(Laskenta!$B$22,IF(ISNUMBER(H34),G34/12,""),"")</f>
      </c>
      <c r="K34" s="289">
        <f>IF(Laskenta!$B$22,IF(ISNUMBER(H34),$D$8/60*I34,""),"")</f>
      </c>
      <c r="L34" s="292">
        <f ca="1">IF(INDIRECT(CONCATENATE("Tietokanta!",ADDRESS(Laskenta!B14+2,15)))&gt;0,INDIRECT(CONCATENATE("Tietokanta!",ADDRESS(Laskenta!B14+2,15))),"")</f>
      </c>
      <c r="M34" s="292">
        <f ca="1">IF(INDIRECT(CONCATENATE("Tietokanta!",ADDRESS(Laskenta!B14+2,17)))&gt;0,INDIRECT(CONCATENATE("Tietokanta!",ADDRESS(Laskenta!B14+2,17))),"")</f>
      </c>
      <c r="N34" s="295"/>
      <c r="O34" s="61"/>
      <c r="P34" s="62"/>
      <c r="Q34" s="62"/>
      <c r="R34" s="62"/>
      <c r="T34" s="43"/>
      <c r="U34" s="42"/>
      <c r="V34" s="42"/>
      <c r="W34" s="42"/>
    </row>
    <row r="35" spans="1:27" ht="15.75" customHeight="1">
      <c r="A35" s="259">
        <f>IF(Laskenta!C15&lt;&gt;"",11,"")</f>
        <v>11</v>
      </c>
      <c r="B35" s="234"/>
      <c r="C35" s="64" t="str">
        <f ca="1">IF(INDIRECT(CONCATENATE("Tietokanta!",ADDRESS(Laskenta!B15+2,6)))&gt;0,INDIRECT(CONCATENATE("Tietokanta!",ADDRESS(Laskenta!B15+2,6))),"")</f>
        <v>123.500</v>
      </c>
      <c r="D35" s="82">
        <f ca="1">IF(INDIRECT(CONCATENATE("Tietokanta!",ADDRESS(Laskenta!B15+2,8)))&gt;0,INDIRECT(CONCATENATE("Tietokanta!",ADDRESS(Laskenta!B15+2,8))),"")</f>
      </c>
      <c r="E35" s="99">
        <f>IF(Laskenta!$B$21,IF(ISNUMBER(Laskenta!P15),Laskenta!P15,""),"")</f>
        <v>176.58096790463543</v>
      </c>
      <c r="F35" s="101">
        <f>IF(Laskenta!$B$21,IF(ISNUMBER(Laskenta!Z15),Laskenta!Z15,""),"")</f>
        <v>169.1692456404149</v>
      </c>
      <c r="G35" s="100">
        <f>IF(Laskenta!$B$21,IF(ISNUMBER(Laskenta!AA15),IF(Laskenta!$B$23,Laskenta!AA15,Laskenta!AA15),""),"")</f>
        <v>189.81525927398354</v>
      </c>
      <c r="H35" s="100">
        <f>IF(Laskenta!$B$21,IF(ISNUMBER(Laskenta!M15),IF(Laskenta!$B$23,Laskenta!M15,Laskenta!M15/1.852),""),"")</f>
        <v>437.92784110013986</v>
      </c>
      <c r="I35" s="101">
        <f>IF(Laskenta!$B$21,IF(ISNUMBER(H35),H35/G35*60,""),"")</f>
        <v>138.42759832117346</v>
      </c>
      <c r="J35" s="100">
        <f>IF(Laskenta!$B$21,IF(ISNUMBER(H35),G35/12,""),"")</f>
        <v>15.817938272831961</v>
      </c>
      <c r="K35" s="290">
        <f>IF(Laskenta!$B$21,IF(ISNUMBER(H35),$D$8/60*I35,""),"")</f>
        <v>39.221152857665814</v>
      </c>
      <c r="L35" s="292" t="str">
        <f ca="1">IF(INDIRECT(CONCATENATE("Tietokanta!",ADDRESS(Laskenta!B15+2,14)))&gt;0,INDIRECT(CONCATENATE("Tietokanta!",ADDRESS(Laskenta!B15+2,14))),"")</f>
        <v>14/32</v>
      </c>
      <c r="M35" s="292" t="str">
        <f ca="1">IF(INDIRECT(CONCATENATE("Tietokanta!",ADDRESS(Laskenta!B15+2,16)))&gt;0,INDIRECT(CONCATENATE("Tietokanta!",ADDRESS(Laskenta!B15+2,16))),"")</f>
        <v>900x30</v>
      </c>
      <c r="N35" s="295"/>
      <c r="O35" s="59"/>
      <c r="P35" s="48"/>
      <c r="Q35" s="48"/>
      <c r="R35" s="48"/>
      <c r="T35" s="43"/>
      <c r="U35" s="42"/>
      <c r="V35" s="42"/>
      <c r="W35" s="42"/>
      <c r="AA35" s="68"/>
    </row>
    <row r="36" spans="1:23" ht="12.75">
      <c r="A36" s="279">
        <f>IF(Laskenta!$B$24=0,(Laskenta!AB15),IF(Laskenta!$B$24,Laskenta!AC15))</f>
        <v>738.1889775000001</v>
      </c>
      <c r="B36" s="232" t="str">
        <f ca="1">IF(Laskenta!B25=TRUE,IF(INDIRECT(CONCATENATE("Tietokanta!",ADDRESS(Laskenta!B15+2,6)))&gt;0,INDIRECT(CONCATENATE("Tietokanta!",ADDRESS(Laskenta!B15+2,10))),""),"")</f>
        <v>AAVAHELUKKA</v>
      </c>
      <c r="C36" s="60" t="str">
        <f ca="1">IF(Laskenta!B20=TRUE,IF(INDIRECT(CONCATENATE("Tietokanta!",ADDRESS(Laskenta!B15+2,6)))&gt;0,CONCATENATE("Pika ",VLOOKUP((RIGHT(C35,7)),Pikavalintatiedot!B4:C54,2,TRUE)),""),"")</f>
        <v>Pika 10</v>
      </c>
      <c r="D36" s="83">
        <f ca="1">IF(INDIRECT(CONCATENATE("Tietokanta!",ADDRESS(Laskenta!B15+2,9)))&gt;0,INDIRECT(CONCATENATE("Tietokanta!",ADDRESS(Laskenta!B15+2,9))),"")</f>
      </c>
      <c r="E36" s="102">
        <f>IF(Laskenta!$B$22,IF(ISNUMBER(Laskenta!P15),Laskenta!P15,""),"")</f>
      </c>
      <c r="F36" s="97">
        <f>IF(Laskenta!$B$22,IF(ISNUMBER(Laskenta!Z15),Laskenta!Z15,""),"")</f>
      </c>
      <c r="G36" s="98">
        <f>IF(Laskenta!$B$22,IF(ISNUMBER(Laskenta!AA15),IF(Laskenta!$B$23,Laskenta!AA15,Laskenta!AA15),""),"")</f>
      </c>
      <c r="H36" s="98">
        <f>IF(Laskenta!$B$22,IF(ISNUMBER(Laskenta!M15),IF(Laskenta!$B$23,Laskenta!M15,Laskenta!M15/1.852),""),"")</f>
      </c>
      <c r="I36" s="97">
        <f>IF(Laskenta!$B$22,IF(ISNUMBER(H36),H36/G36*60,""),"")</f>
      </c>
      <c r="J36" s="98">
        <f>IF(Laskenta!$B$22,IF(ISNUMBER(H36),G36/12,""),"")</f>
      </c>
      <c r="K36" s="289">
        <f>IF(Laskenta!$B$22,IF(ISNUMBER(H36),$D$8/60*I36,""),"")</f>
      </c>
      <c r="L36" s="292">
        <f ca="1">IF(INDIRECT(CONCATENATE("Tietokanta!",ADDRESS(Laskenta!B15+2,15)))&gt;0,INDIRECT(CONCATENATE("Tietokanta!",ADDRESS(Laskenta!B15+2,15))),"")</f>
      </c>
      <c r="M36" s="292">
        <f ca="1">IF(INDIRECT(CONCATENATE("Tietokanta!",ADDRESS(Laskenta!B15+2,17)))&gt;0,INDIRECT(CONCATENATE("Tietokanta!",ADDRESS(Laskenta!B15+2,17))),"")</f>
      </c>
      <c r="N36" s="295"/>
      <c r="O36" s="61"/>
      <c r="P36" s="62"/>
      <c r="Q36" s="62"/>
      <c r="R36" s="62"/>
      <c r="T36" s="43"/>
      <c r="U36" s="42"/>
      <c r="V36" s="42"/>
      <c r="W36" s="42"/>
    </row>
    <row r="37" spans="1:23" ht="15.75" customHeight="1">
      <c r="A37" s="259">
        <f>IF(Laskenta!C16&lt;&gt;"",12,"")</f>
        <v>12</v>
      </c>
      <c r="B37" s="234"/>
      <c r="C37" s="64" t="str">
        <f ca="1">IF(INDIRECT(CONCATENATE("Tietokanta!",ADDRESS(Laskenta!B16+2,6)))&gt;0,INDIRECT(CONCATENATE("Tietokanta!",ADDRESS(Laskenta!B16+2,6))),"")</f>
        <v>TWR 118.600</v>
      </c>
      <c r="D37" s="82" t="str">
        <f ca="1">IF(INDIRECT(CONCATENATE("Tietokanta!",ADDRESS(Laskenta!B16+2,8)))&gt;0,INDIRECT(CONCATENATE("Tietokanta!",ADDRESS(Laskenta!B16+2,8))),"")</f>
        <v>APP 119.100</v>
      </c>
      <c r="E37" s="99">
        <f>IF(Laskenta!$B$21,IF(ISNUMBER(Laskenta!P16),Laskenta!P16,""),"")</f>
        <v>326.2989786579731</v>
      </c>
      <c r="F37" s="101">
        <f>IF(Laskenta!$B$21,IF(ISNUMBER(Laskenta!Z16),Laskenta!Z16,""),"")</f>
        <v>320.407342010626</v>
      </c>
      <c r="G37" s="100">
        <f>IF(Laskenta!$B$21,IF(ISNUMBER(Laskenta!AA16),IF(Laskenta!$B$23,Laskenta!AA16,Laskenta!AA16),""),"")</f>
        <v>181.47337372489892</v>
      </c>
      <c r="H37" s="100">
        <f>IF(Laskenta!$B$21,IF(ISNUMBER(Laskenta!M16),IF(Laskenta!$B$23,Laskenta!M16,Laskenta!M16/1.852),""),"")</f>
        <v>99.01714571542773</v>
      </c>
      <c r="I37" s="101">
        <f>IF(Laskenta!$B$21,IF(ISNUMBER(H37),H37/G37*60,""),"")</f>
        <v>32.73774339993179</v>
      </c>
      <c r="J37" s="100">
        <f>IF(Laskenta!$B$21,IF(ISNUMBER(H37),G37/12,""),"")</f>
        <v>15.122781143741577</v>
      </c>
      <c r="K37" s="290">
        <f>IF(Laskenta!$B$21,IF(ISNUMBER(H37),$D$8/60*I37,""),"")</f>
        <v>9.275693963314007</v>
      </c>
      <c r="L37" s="292" t="str">
        <f ca="1">IF(INDIRECT(CONCATENATE("Tietokanta!",ADDRESS(Laskenta!B16+2,14)))&gt;0,INDIRECT(CONCATENATE("Tietokanta!",ADDRESS(Laskenta!B16+2,14))),"")</f>
        <v>04/22 R&amp;L</v>
      </c>
      <c r="M37" s="292" t="str">
        <f ca="1">IF(INDIRECT(CONCATENATE("Tietokanta!",ADDRESS(Laskenta!B16+2,16)))&gt;0,INDIRECT(CONCATENATE("Tietokanta!",ADDRESS(Laskenta!B16+2,16))),"")</f>
        <v>3060x60</v>
      </c>
      <c r="N37" s="295"/>
      <c r="O37" s="59"/>
      <c r="P37" s="48"/>
      <c r="Q37" s="48"/>
      <c r="R37" s="48"/>
      <c r="T37" s="43"/>
      <c r="U37" s="42"/>
      <c r="V37" s="42"/>
      <c r="W37" s="42"/>
    </row>
    <row r="38" spans="1:23" ht="12.75">
      <c r="A38" s="279">
        <f>IF(Laskenta!$B$24=0,(Laskenta!AB16),IF(Laskenta!$B$24,Laskenta!AC16))</f>
        <v>180.44619450000002</v>
      </c>
      <c r="B38" s="232" t="str">
        <f ca="1">IF(Laskenta!B25=TRUE,IF(INDIRECT(CONCATENATE("Tietokanta!",ADDRESS(Laskenta!B16+2,6)))&gt;0,INDIRECT(CONCATENATE("Tietokanta!",ADDRESS(Laskenta!B16+2,10))),""),"")</f>
        <v>VANTAA</v>
      </c>
      <c r="C38" s="60" t="str">
        <f ca="1">IF(Laskenta!B20=TRUE,IF(INDIRECT(CONCATENATE("Tietokanta!",ADDRESS(Laskenta!B16+2,6)))&gt;0,CONCATENATE("Pika ",VLOOKUP((RIGHT(C37,7)),Pikavalintatiedot!B4:C54,2,TRUE)),""),"")</f>
        <v>Pika 15</v>
      </c>
      <c r="D38" s="83" t="str">
        <f ca="1">IF(INDIRECT(CONCATENATE("Tietokanta!",ADDRESS(Laskenta!B16+2,9)))&gt;0,INDIRECT(CONCATENATE("Tietokanta!",ADDRESS(Laskenta!B16+2,9))),"")</f>
        <v>ATIS 135.075</v>
      </c>
      <c r="E38" s="102">
        <f>IF(Laskenta!$B$22,IF(ISNUMBER(Laskenta!P16),Laskenta!P16,""),"")</f>
      </c>
      <c r="F38" s="97">
        <f>IF(Laskenta!$B$22,IF(ISNUMBER(Laskenta!Z16),Laskenta!Z16,""),"")</f>
      </c>
      <c r="G38" s="98">
        <f>IF(Laskenta!$B$22,IF(ISNUMBER(Laskenta!AA16),IF(Laskenta!$B$23,Laskenta!AA16,Laskenta!AA16),""),"")</f>
      </c>
      <c r="H38" s="98">
        <f>IF(Laskenta!$B$22,IF(ISNUMBER(Laskenta!M16),IF(Laskenta!$B$23,Laskenta!M16,Laskenta!M16/1.852),""),"")</f>
      </c>
      <c r="I38" s="97">
        <f>IF(Laskenta!$B$22,IF(ISNUMBER(H38),H38/G38*60,""),"")</f>
      </c>
      <c r="J38" s="98">
        <f>IF(Laskenta!$B$22,IF(ISNUMBER(H38),G38/12,""),"")</f>
      </c>
      <c r="K38" s="289">
        <f>IF(Laskenta!$B$22,IF(ISNUMBER(H38),$D$8/60*I38,""),"")</f>
      </c>
      <c r="L38" s="292" t="str">
        <f ca="1">IF(INDIRECT(CONCATENATE("Tietokanta!",ADDRESS(Laskenta!B16+2,15)))&gt;0,INDIRECT(CONCATENATE("Tietokanta!",ADDRESS(Laskenta!B16+2,15))),"")</f>
        <v>15/33</v>
      </c>
      <c r="M38" s="292" t="str">
        <f ca="1">IF(INDIRECT(CONCATENATE("Tietokanta!",ADDRESS(Laskenta!B16+2,17)))&gt;0,INDIRECT(CONCATENATE("Tietokanta!",ADDRESS(Laskenta!B16+2,17))),"")</f>
        <v>2901x60</v>
      </c>
      <c r="N38" s="295"/>
      <c r="O38" s="61"/>
      <c r="P38" s="62"/>
      <c r="Q38" s="62"/>
      <c r="R38" s="62"/>
      <c r="T38" s="43"/>
      <c r="U38" s="42"/>
      <c r="V38" s="42"/>
      <c r="W38" s="42"/>
    </row>
    <row r="39" spans="1:23" ht="15.75" customHeight="1">
      <c r="A39" s="262">
        <f>IF(Laskenta!C17&lt;&gt;"",13,"")</f>
        <v>13</v>
      </c>
      <c r="B39" s="235"/>
      <c r="C39" s="64" t="str">
        <f ca="1">IF(INDIRECT(CONCATENATE("Tietokanta!",ADDRESS(Laskenta!B17+2,6)))&gt;0,INDIRECT(CONCATENATE("Tietokanta!",ADDRESS(Laskenta!B17+2,6))),"")</f>
        <v>123.150</v>
      </c>
      <c r="D39" s="82">
        <f ca="1">IF(INDIRECT(CONCATENATE("Tietokanta!",ADDRESS(Laskenta!B17+2,8)))&gt;0,INDIRECT(CONCATENATE("Tietokanta!",ADDRESS(Laskenta!B17+2,8))),"")</f>
      </c>
      <c r="E39" s="99">
        <f>IF(Laskenta!$B$21,IF(ISNUMBER(Laskenta!P17),Laskenta!P17,""),"")</f>
        <v>90</v>
      </c>
      <c r="F39" s="101">
        <f>IF(Laskenta!$B$21,IF(ISNUMBER(Laskenta!Z17),Laskenta!Z17,""),"")</f>
        <v>81.48512812617895</v>
      </c>
      <c r="G39" s="100">
        <f>IF(Laskenta!$B$21,IF(ISNUMBER(Laskenta!AA17),IF(Laskenta!$B$23,Laskenta!AA17,Laskenta!AA17),""),"")</f>
        <v>183.89578344080016</v>
      </c>
      <c r="H39" s="100">
        <f>IF(Laskenta!$B$21,IF(ISNUMBER(Laskenta!M17),IF(Laskenta!$B$23,Laskenta!M17,Laskenta!M17/1.852),""),"")</f>
        <v>16.490106929436834</v>
      </c>
      <c r="I39" s="101">
        <f>IF(Laskenta!$B$21,IF(ISNUMBER(H39),H39/G39*60,""),"")</f>
        <v>5.380256127975443</v>
      </c>
      <c r="J39" s="100">
        <f>IF(Laskenta!$B$21,IF(ISNUMBER(H39),G39/12,""),"")</f>
        <v>15.32464862006668</v>
      </c>
      <c r="K39" s="290">
        <f>IF(Laskenta!$B$21,IF(ISNUMBER(H39),$D$8/60*I39,""),"")</f>
        <v>1.5244059029263755</v>
      </c>
      <c r="L39" s="292" t="str">
        <f ca="1">IF(INDIRECT(CONCATENATE("Tietokanta!",ADDRESS(Laskenta!B17+2,14)))&gt;0,INDIRECT(CONCATENATE("Tietokanta!",ADDRESS(Laskenta!B17+2,14))),"")</f>
        <v>07/25</v>
      </c>
      <c r="M39" s="292" t="str">
        <f ca="1">IF(INDIRECT(CONCATENATE("Tietokanta!",ADDRESS(Laskenta!B17+2,16)))&gt;0,INDIRECT(CONCATENATE("Tietokanta!",ADDRESS(Laskenta!B17+2,16))),"")</f>
        <v>950x18</v>
      </c>
      <c r="N39" s="295"/>
      <c r="O39" s="59"/>
      <c r="P39" s="48"/>
      <c r="Q39" s="48"/>
      <c r="R39" s="48"/>
      <c r="T39" s="43"/>
      <c r="U39" s="42"/>
      <c r="V39" s="42"/>
      <c r="W39" s="42"/>
    </row>
    <row r="40" spans="1:23" ht="12.75">
      <c r="A40" s="279">
        <f>IF(Laskenta!$B$24=0,(Laskenta!AB17),IF(Laskenta!$B$24,Laskenta!AC17))</f>
        <v>449.47506630000004</v>
      </c>
      <c r="B40" s="232" t="str">
        <f ca="1">IF(Laskenta!B25=TRUE,IF(INDIRECT(CONCATENATE("Tietokanta!",ADDRESS(Laskenta!B17+2,6)))&gt;0,INDIRECT(CONCATENATE("Tietokanta!",ADDRESS(Laskenta!B17+2,10))),""),"")</f>
        <v>HÄMEENKYRO</v>
      </c>
      <c r="C40" s="60" t="str">
        <f ca="1">IF(Laskenta!B20=TRUE,IF(INDIRECT(CONCATENATE("Tietokanta!",ADDRESS(Laskenta!B17+2,6)))&gt;0,CONCATENATE("Pika ",VLOOKUP((RIGHT(C39,7)),Pikavalintatiedot!B4:C54,2,TRUE)),""),"")</f>
        <v>Pika 6</v>
      </c>
      <c r="D40" s="83">
        <f ca="1">IF(INDIRECT(CONCATENATE("Tietokanta!",ADDRESS(Laskenta!B17+2,9)))&gt;0,INDIRECT(CONCATENATE("Tietokanta!",ADDRESS(Laskenta!B17+2,9))),"")</f>
      </c>
      <c r="E40" s="102">
        <f>IF(Laskenta!$B$22,IF(ISNUMBER(Laskenta!P17),Laskenta!P17,""),"")</f>
      </c>
      <c r="F40" s="97">
        <f>IF(Laskenta!$B$22,IF(ISNUMBER(Laskenta!Z17),Laskenta!Z17,""),"")</f>
      </c>
      <c r="G40" s="98">
        <f>IF(Laskenta!$B$22,IF(ISNUMBER(Laskenta!AA17),IF(Laskenta!$B$23,Laskenta!AA17,Laskenta!AA17),""),"")</f>
      </c>
      <c r="H40" s="98">
        <f>IF(Laskenta!$B$22,IF(ISNUMBER(Laskenta!M17),IF(Laskenta!$B$23,Laskenta!M17,Laskenta!M17/1.852),""),"")</f>
      </c>
      <c r="I40" s="97">
        <f>IF(Laskenta!$B$22,IF(ISNUMBER(H40),H40/G40*60,""),"")</f>
      </c>
      <c r="J40" s="98">
        <f>IF(Laskenta!$B$22,IF(ISNUMBER(H40),G40/12,""),"")</f>
      </c>
      <c r="K40" s="289">
        <f>IF(Laskenta!$B$22,IF(ISNUMBER(H40),$D$8/60*I40,""),"")</f>
      </c>
      <c r="L40" s="292">
        <f ca="1">IF(INDIRECT(CONCATENATE("Tietokanta!",ADDRESS(Laskenta!B17+2,15)))&gt;0,INDIRECT(CONCATENATE("Tietokanta!",ADDRESS(Laskenta!B17+2,15))),"")</f>
      </c>
      <c r="M40" s="292">
        <f ca="1">IF(INDIRECT(CONCATENATE("Tietokanta!",ADDRESS(Laskenta!B17+2,17)))&gt;0,INDIRECT(CONCATENATE("Tietokanta!",ADDRESS(Laskenta!B17+2,17))),"")</f>
      </c>
      <c r="N40" s="295"/>
      <c r="O40" s="61"/>
      <c r="P40" s="62"/>
      <c r="R40" s="62"/>
      <c r="T40" s="43"/>
      <c r="U40" s="42"/>
      <c r="V40" s="42"/>
      <c r="W40" s="42"/>
    </row>
    <row r="41" spans="1:23" ht="15.75" customHeight="1">
      <c r="A41" s="259">
        <f>IF(Laskenta!C18&lt;&gt;"",14,"")</f>
        <v>14</v>
      </c>
      <c r="B41" s="234"/>
      <c r="C41" s="64" t="str">
        <f ca="1">IF(INDIRECT(CONCATENATE("Tietokanta!",ADDRESS(Laskenta!B18+2,6)))&gt;0,INDIRECT(CONCATENATE("Tietokanta!",ADDRESS(Laskenta!B18+2,6))),"")</f>
        <v>123.150</v>
      </c>
      <c r="D41" s="82">
        <f ca="1">IF(INDIRECT(CONCATENATE("Tietokanta!",ADDRESS(Laskenta!B18+2,8)))&gt;0,INDIRECT(CONCATENATE("Tietokanta!",ADDRESS(Laskenta!B18+2,8))),"")</f>
      </c>
      <c r="E41" s="99">
        <f>IF(Laskenta!$B$21,IF(ISNUMBER(Laskenta!P18),Laskenta!P18,""),"")</f>
        <v>136.07417176804233</v>
      </c>
      <c r="F41" s="101">
        <f>IF(Laskenta!$B$21,IF(ISNUMBER(Laskenta!Z18),Laskenta!Z18,""),"")</f>
        <v>127.79139331115756</v>
      </c>
      <c r="G41" s="100">
        <f>IF(Laskenta!$B$21,IF(ISNUMBER(Laskenta!AA18),IF(Laskenta!$B$23,Laskenta!AA18,Laskenta!AA18),""),"")</f>
        <v>187.75496421149367</v>
      </c>
      <c r="H41" s="100">
        <f>IF(Laskenta!$B$21,IF(ISNUMBER(Laskenta!M18),IF(Laskenta!$B$23,Laskenta!M18,Laskenta!M18/1.852),""),"")</f>
        <v>54.49148073948889</v>
      </c>
      <c r="I41" s="101">
        <f>IF(Laskenta!$B$21,IF(ISNUMBER(H41),H41/G41*60,""),"")</f>
        <v>17.41359467165123</v>
      </c>
      <c r="J41" s="100">
        <f>IF(Laskenta!$B$21,IF(ISNUMBER(H41),G41/12,""),"")</f>
        <v>15.646247017624473</v>
      </c>
      <c r="K41" s="290">
        <f>IF(Laskenta!$B$21,IF(ISNUMBER(H41),$D$8/60*I41,""),"")</f>
        <v>4.933851823634515</v>
      </c>
      <c r="L41" s="292" t="str">
        <f ca="1">IF(INDIRECT(CONCATENATE("Tietokanta!",ADDRESS(Laskenta!B18+2,14)))&gt;0,INDIRECT(CONCATENATE("Tietokanta!",ADDRESS(Laskenta!B18+2,14))),"")</f>
        <v>04/22</v>
      </c>
      <c r="M41" s="292" t="str">
        <f ca="1">IF(INDIRECT(CONCATENATE("Tietokanta!",ADDRESS(Laskenta!B18+2,16)))&gt;0,INDIRECT(CONCATENATE("Tietokanta!",ADDRESS(Laskenta!B18+2,16))),"")</f>
        <v>820X32</v>
      </c>
      <c r="N41" s="295"/>
      <c r="O41" s="59"/>
      <c r="P41" s="48"/>
      <c r="R41" s="48"/>
      <c r="T41" s="43"/>
      <c r="U41" s="42"/>
      <c r="V41" s="42"/>
      <c r="W41" s="42"/>
    </row>
    <row r="42" spans="1:23" ht="12.75">
      <c r="A42" s="279">
        <f>IF(Laskenta!$B$24=0,(Laskenta!AB18),IF(Laskenta!$B$24,Laskenta!AC18))</f>
        <v>324.80315010000004</v>
      </c>
      <c r="B42" s="232" t="str">
        <f ca="1">IF(Laskenta!B25=TRUE,IF(INDIRECT(CONCATENATE("Tietokanta!",ADDRESS(Laskenta!B18+2,6)))&gt;0,INDIRECT(CONCATENATE("Tietokanta!",ADDRESS(Laskenta!B18+2,10))),""),"")</f>
        <v>FORSSA</v>
      </c>
      <c r="C42" s="60" t="str">
        <f ca="1">IF(Laskenta!B20=TRUE,IF(INDIRECT(CONCATENATE("Tietokanta!",ADDRESS(Laskenta!B18+2,6)))&gt;0,CONCATENATE("Pika ",VLOOKUP((RIGHT(C41,7)),Pikavalintatiedot!B4:C54,2,TRUE)),""),"")</f>
        <v>Pika 6</v>
      </c>
      <c r="D42" s="83">
        <f ca="1">IF(INDIRECT(CONCATENATE("Tietokanta!",ADDRESS(Laskenta!B18+2,9)))&gt;0,INDIRECT(CONCATENATE("Tietokanta!",ADDRESS(Laskenta!B18+2,9))),"")</f>
      </c>
      <c r="E42" s="102">
        <f>IF(Laskenta!$B$22,IF(ISNUMBER(Laskenta!P18),Laskenta!P18,""),"")</f>
      </c>
      <c r="F42" s="97">
        <f>IF(Laskenta!$B$22,IF(ISNUMBER(Laskenta!Z18),Laskenta!Z18,""),"")</f>
      </c>
      <c r="G42" s="98">
        <f>IF(Laskenta!$B$22,IF(ISNUMBER(Laskenta!AA18),IF(Laskenta!$B$23,Laskenta!AA18,Laskenta!AA18),""),"")</f>
      </c>
      <c r="H42" s="98">
        <f>IF(Laskenta!$B$22,IF(ISNUMBER(Laskenta!M18),IF(Laskenta!$B$23,Laskenta!M18,Laskenta!M18/1.852),""),"")</f>
      </c>
      <c r="I42" s="97">
        <f>IF(Laskenta!$B$22,IF(ISNUMBER(H42),H42/G42*60,""),"")</f>
      </c>
      <c r="J42" s="98">
        <f>IF(Laskenta!$B$22,IF(ISNUMBER(H42),G42/12,""),"")</f>
      </c>
      <c r="K42" s="289">
        <f>IF(Laskenta!$B$22,IF(ISNUMBER(H42),$D$8/60*I42,""),"")</f>
      </c>
      <c r="L42" s="292">
        <f ca="1">IF(INDIRECT(CONCATENATE("Tietokanta!",ADDRESS(Laskenta!B18+2,15)))&gt;0,INDIRECT(CONCATENATE("Tietokanta!",ADDRESS(Laskenta!B18+2,15))),"")</f>
      </c>
      <c r="M42" s="292">
        <f ca="1">IF(INDIRECT(CONCATENATE("Tietokanta!",ADDRESS(Laskenta!B18+2,17)))&gt;0,INDIRECT(CONCATENATE("Tietokanta!",ADDRESS(Laskenta!B18+2,17))),"")</f>
      </c>
      <c r="N42" s="295"/>
      <c r="O42" s="61"/>
      <c r="P42" s="62"/>
      <c r="R42" s="62"/>
      <c r="T42" s="43"/>
      <c r="U42" s="42"/>
      <c r="V42" s="42"/>
      <c r="W42" s="42"/>
    </row>
    <row r="43" spans="1:23" ht="15.75" customHeight="1">
      <c r="A43" s="259">
        <f>IF(Laskenta!C19&lt;&gt;"",15,"")</f>
        <v>15</v>
      </c>
      <c r="B43" s="234"/>
      <c r="C43" s="64">
        <f ca="1">IF(INDIRECT(CONCATENATE("Tietokanta!",ADDRESS(Laskenta!B19+2,6)))&gt;0,INDIRECT(CONCATENATE("Tietokanta!",ADDRESS(Laskenta!B19+2,6))),"")</f>
      </c>
      <c r="D43" s="82">
        <f ca="1">IF(INDIRECT(CONCATENATE("Tietokanta!",ADDRESS(Laskenta!B19+2,8)))&gt;0,INDIRECT(CONCATENATE("Tietokanta!",ADDRESS(Laskenta!B19+2,8))),"")</f>
      </c>
      <c r="E43" s="99">
        <f>IF(Laskenta!$B$21,IF(ISNUMBER(Laskenta!P19),Laskenta!P19,""),"")</f>
      </c>
      <c r="F43" s="105">
        <f>IF(Laskenta!$B$21,IF(ISNUMBER(Laskenta!Z19),Laskenta!Z19,""),"")</f>
      </c>
      <c r="G43" s="100">
        <f>IF(Laskenta!$B$21,IF(ISNUMBER(Laskenta!AA19),IF(Laskenta!$B$23,Laskenta!AA19,Laskenta!AA19),""),"")</f>
      </c>
      <c r="H43" s="100">
        <f>IF(Laskenta!$B$21,IF(ISNUMBER(Laskenta!M19),IF(Laskenta!$B$23,Laskenta!M19,Laskenta!M19/1.852),""),"")</f>
      </c>
      <c r="I43" s="101">
        <f>IF(Laskenta!$B$21,IF(ISNUMBER(H43),H43/G43*60,""),"")</f>
      </c>
      <c r="J43" s="100">
        <f>IF(Laskenta!$B$21,IF(ISNUMBER(H43),G43/12,""),"")</f>
      </c>
      <c r="K43" s="290">
        <f>IF(Laskenta!$B$21,IF(ISNUMBER(H43),$D$8/60*I43,""),"")</f>
      </c>
      <c r="L43" s="292">
        <f ca="1">IF(INDIRECT(CONCATENATE("Tietokanta!",ADDRESS(Laskenta!B19+2,14)))&gt;0,INDIRECT(CONCATENATE("Tietokanta!",ADDRESS(Laskenta!B19+2,14))),"")</f>
      </c>
      <c r="M43" s="292">
        <f ca="1">IF(INDIRECT(CONCATENATE("Tietokanta!",ADDRESS(Laskenta!B19+2,16)))&gt;0,INDIRECT(CONCATENATE("Tietokanta!",ADDRESS(Laskenta!B19+2,16))),"")</f>
      </c>
      <c r="N43" s="295"/>
      <c r="O43" s="59"/>
      <c r="P43" s="48"/>
      <c r="R43" s="48"/>
      <c r="T43" s="43"/>
      <c r="U43" s="42"/>
      <c r="V43" s="42"/>
      <c r="W43" s="42"/>
    </row>
    <row r="44" spans="1:23" ht="12.75">
      <c r="A44" s="279">
        <f>IF(Laskenta!$B$24=0,(Laskenta!AB19),IF(Laskenta!$B$24,Laskenta!AC19))</f>
        <v>0</v>
      </c>
      <c r="B44" s="232">
        <f ca="1">IF(Laskenta!B25=TRUE,IF(INDIRECT(CONCATENATE("Tietokanta!",ADDRESS(Laskenta!B19+2,6)))&gt;0,INDIRECT(CONCATENATE("Tietokanta!",ADDRESS(Laskenta!B19+2,10))),""),"")</f>
      </c>
      <c r="C44" s="84">
        <f ca="1">IF(Laskenta!B20=TRUE,IF(INDIRECT(CONCATENATE("Tietokanta!",ADDRESS(Laskenta!B19+2,6)))&gt;0,CONCATENATE("Pika ",VLOOKUP((RIGHT(C43,7)),Pikavalintatiedot!B4:C54,2,TRUE)),""),"")</f>
      </c>
      <c r="D44" s="71">
        <f ca="1">IF(INDIRECT(CONCATENATE("Tietokanta!",ADDRESS(Laskenta!B19+2,9)))&gt;0,INDIRECT(CONCATENATE("Tietokanta!",ADDRESS(Laskenta!B19+2,9))),"")</f>
      </c>
      <c r="E44" s="106">
        <f>IF(Laskenta!$B$22,IF(ISNUMBER(Laskenta!P19),Laskenta!P19,""),"")</f>
      </c>
      <c r="F44" s="106">
        <f>IF(Laskenta!$B$22,IF(ISNUMBER(Laskenta!Z19),Laskenta!Z19,""),"")</f>
      </c>
      <c r="G44" s="98">
        <f>IF(Laskenta!$B$22,IF(ISNUMBER(Laskenta!AA19),IF(Laskenta!$B$23,Laskenta!AA19,Laskenta!AA19),""),"")</f>
      </c>
      <c r="H44" s="107">
        <f>IF(Laskenta!$B$22,IF(ISNUMBER(Laskenta!M19),IF(Laskenta!$B$23,Laskenta!M19,Laskenta!M19/1.852),""),"")</f>
      </c>
      <c r="I44" s="97">
        <f>IF(Laskenta!$B$22,IF(ISNUMBER(H44),H44/G44*60,""),"")</f>
      </c>
      <c r="J44" s="103">
        <f>IF(Laskenta!$B$22,IF(ISNUMBER(H44),G44/12,""),"")</f>
      </c>
      <c r="K44" s="289">
        <f>IF(Laskenta!$B$22,IF(ISNUMBER(H44),$D$8/60*I44,""),"")</f>
      </c>
      <c r="L44" s="293">
        <f ca="1">IF(INDIRECT(CONCATENATE("Tietokanta!",ADDRESS(Laskenta!B19+2,15)))&gt;0,INDIRECT(CONCATENATE("Tietokanta!",ADDRESS(Laskenta!B19+2,15))),"")</f>
      </c>
      <c r="M44" s="293">
        <f ca="1">IF(INDIRECT(CONCATENATE("Tietokanta!",ADDRESS(Laskenta!B19+2,17)))&gt;0,INDIRECT(CONCATENATE("Tietokanta!",ADDRESS(Laskenta!B19+2,17))),"")</f>
      </c>
      <c r="N44" s="296"/>
      <c r="O44" s="59"/>
      <c r="P44" s="48"/>
      <c r="R44" s="48"/>
      <c r="T44" s="43"/>
      <c r="U44" s="42"/>
      <c r="V44" s="42"/>
      <c r="W44" s="42"/>
    </row>
    <row r="45" spans="1:23" ht="13.5" thickBot="1">
      <c r="A45" s="349"/>
      <c r="B45" s="349"/>
      <c r="C45" s="349"/>
      <c r="D45" s="349"/>
      <c r="E45" s="350"/>
      <c r="F45" s="37"/>
      <c r="G45" s="72" t="s">
        <v>42</v>
      </c>
      <c r="H45" s="73" t="str">
        <f>CONCATENATE(TEXT(SUM(H15:H44),"0"),Laskenta!B27)</f>
        <v>2558NM</v>
      </c>
      <c r="I45" s="74">
        <f>SUM(I15:I44)</f>
        <v>829.3166986301602</v>
      </c>
      <c r="J45" s="347"/>
      <c r="K45" s="227">
        <f>SUM(K15:K43)</f>
        <v>234.97306461187867</v>
      </c>
      <c r="L45" s="316"/>
      <c r="M45" s="316"/>
      <c r="N45" s="316"/>
      <c r="U45" s="75"/>
      <c r="V45" s="43"/>
      <c r="W45" s="42"/>
    </row>
    <row r="46" spans="1:23" ht="13.5" thickTop="1">
      <c r="A46" s="86" t="s">
        <v>350</v>
      </c>
      <c r="B46" s="87"/>
      <c r="C46" s="87"/>
      <c r="D46" s="87"/>
      <c r="E46" s="88"/>
      <c r="F46" s="316"/>
      <c r="G46" s="317"/>
      <c r="H46" s="318"/>
      <c r="I46" s="74"/>
      <c r="J46" s="348"/>
      <c r="K46" s="74"/>
      <c r="L46" s="316"/>
      <c r="M46" s="316"/>
      <c r="N46" s="316"/>
      <c r="U46" s="75"/>
      <c r="V46" s="43"/>
      <c r="W46" s="42"/>
    </row>
    <row r="47" spans="1:23" ht="12.75">
      <c r="A47" s="357" t="s">
        <v>236</v>
      </c>
      <c r="B47" s="358"/>
      <c r="C47" s="358"/>
      <c r="D47" s="314">
        <v>128.4</v>
      </c>
      <c r="E47" s="315"/>
      <c r="F47" s="366" t="s">
        <v>34</v>
      </c>
      <c r="G47" s="366"/>
      <c r="H47" s="367"/>
      <c r="I47" s="76">
        <f>MAX(A15,A17,A19,A21,A23,A25,A27,A29,A31,A33,A35,A37,A39,A41,A43)*$J$7</f>
        <v>30</v>
      </c>
      <c r="J47" s="348"/>
      <c r="K47" s="74">
        <f>$D$8/60*MAX(A15,A17,A19,A21,A23,A25,A27,A29,A31,A33,A35,A37,A39,A41,A43)*J7</f>
        <v>8.5</v>
      </c>
      <c r="L47" s="316"/>
      <c r="M47" s="316"/>
      <c r="N47" s="316"/>
      <c r="V47" s="42"/>
      <c r="W47" s="42"/>
    </row>
    <row r="48" spans="1:14" ht="12.75">
      <c r="A48" s="340" t="s">
        <v>233</v>
      </c>
      <c r="B48" s="341"/>
      <c r="C48" s="341"/>
      <c r="D48" s="314">
        <v>125.1</v>
      </c>
      <c r="E48" s="315"/>
      <c r="F48" s="366" t="s">
        <v>37</v>
      </c>
      <c r="G48" s="366"/>
      <c r="H48" s="367"/>
      <c r="I48" s="76">
        <f>$J$6</f>
        <v>5</v>
      </c>
      <c r="J48" s="348"/>
      <c r="K48" s="74">
        <f>$D$9/60*I48</f>
        <v>0.41666666666666663</v>
      </c>
      <c r="L48" s="316"/>
      <c r="M48" s="316"/>
      <c r="N48" s="316"/>
    </row>
    <row r="49" spans="1:14" ht="12.75">
      <c r="A49" s="340" t="s">
        <v>237</v>
      </c>
      <c r="B49" s="341"/>
      <c r="C49" s="341"/>
      <c r="D49" s="314" t="s">
        <v>239</v>
      </c>
      <c r="E49" s="315"/>
      <c r="F49" s="366" t="s">
        <v>38</v>
      </c>
      <c r="G49" s="366"/>
      <c r="H49" s="367"/>
      <c r="I49" s="76">
        <f>$J$5</f>
        <v>10</v>
      </c>
      <c r="J49" s="348"/>
      <c r="K49" s="76"/>
      <c r="L49" s="316"/>
      <c r="M49" s="316"/>
      <c r="N49" s="316"/>
    </row>
    <row r="50" spans="1:23" ht="12.75">
      <c r="A50" s="340" t="s">
        <v>234</v>
      </c>
      <c r="B50" s="341"/>
      <c r="C50" s="341"/>
      <c r="D50" s="314" t="s">
        <v>235</v>
      </c>
      <c r="E50" s="315"/>
      <c r="F50" s="368" t="s">
        <v>39</v>
      </c>
      <c r="G50" s="368"/>
      <c r="H50" s="367"/>
      <c r="I50" s="76">
        <f>$J$4</f>
        <v>40</v>
      </c>
      <c r="J50" s="348"/>
      <c r="K50" s="76"/>
      <c r="L50" s="316"/>
      <c r="M50" s="316"/>
      <c r="N50" s="316"/>
      <c r="W50" s="68"/>
    </row>
    <row r="51" spans="1:14" ht="13.5" thickBot="1">
      <c r="A51" s="357" t="s">
        <v>240</v>
      </c>
      <c r="B51" s="358"/>
      <c r="C51" s="358"/>
      <c r="D51" s="372" t="s">
        <v>505</v>
      </c>
      <c r="E51" s="373"/>
      <c r="F51" s="369" t="s">
        <v>40</v>
      </c>
      <c r="G51" s="369"/>
      <c r="H51" s="370"/>
      <c r="I51" s="77" t="str">
        <f>CONCATENATE(TEXT(INT(SUM(I45:I50)/60),"0"),"t  ",TEXT(SUM(I45:I50)-INT((SUM(I45:I50))/60)*60,"0"),"min")</f>
        <v>15t  14min</v>
      </c>
      <c r="J51" s="348"/>
      <c r="K51" s="76"/>
      <c r="L51" s="316"/>
      <c r="M51" s="316"/>
      <c r="N51" s="316"/>
    </row>
    <row r="52" spans="1:14" ht="14.25" thickBot="1" thickTop="1">
      <c r="A52" s="340" t="s">
        <v>238</v>
      </c>
      <c r="B52" s="341"/>
      <c r="C52" s="341"/>
      <c r="D52" s="314">
        <v>121.5</v>
      </c>
      <c r="E52" s="315"/>
      <c r="F52" s="369" t="s">
        <v>146</v>
      </c>
      <c r="G52" s="369"/>
      <c r="H52" s="370"/>
      <c r="I52" s="77" t="str">
        <f>CONCATENATE(TEXT(INT((I45+I47)/60),"0"),"t  ",TEXT(I45+I47-INT((I45+I47)/60)*60,"0"),"min")</f>
        <v>14t  19min</v>
      </c>
      <c r="J52" s="348"/>
      <c r="K52" s="76"/>
      <c r="L52" s="316"/>
      <c r="M52" s="316"/>
      <c r="N52" s="316"/>
    </row>
    <row r="53" spans="1:14" ht="14.25" thickBot="1" thickTop="1">
      <c r="A53" s="135"/>
      <c r="B53" s="136"/>
      <c r="C53" s="136"/>
      <c r="D53" s="133"/>
      <c r="E53" s="134"/>
      <c r="F53" s="132"/>
      <c r="G53" s="132"/>
      <c r="H53" s="132"/>
      <c r="I53" s="132"/>
      <c r="J53" s="169" t="s">
        <v>41</v>
      </c>
      <c r="K53" s="228" t="str">
        <f>CONCATENATE(TEXT(SUM(K45:K48),"0"),"L")</f>
        <v>244L</v>
      </c>
      <c r="L53" s="316"/>
      <c r="M53" s="316"/>
      <c r="N53" s="316"/>
    </row>
    <row r="54" spans="1:19" ht="15.75" thickTop="1">
      <c r="A54" s="174" t="s">
        <v>475</v>
      </c>
      <c r="B54" s="170"/>
      <c r="C54" s="173" t="s">
        <v>476</v>
      </c>
      <c r="D54" s="203" t="str">
        <f ca="1">INDIRECT(CONCATENATE("Konedata!",ADDRESS(Konedata!A3+4,1)))</f>
        <v>OH-1016</v>
      </c>
      <c r="E54" s="171"/>
      <c r="F54" s="172"/>
      <c r="G54" s="172"/>
      <c r="H54" s="172"/>
      <c r="I54" s="172"/>
      <c r="J54" s="172"/>
      <c r="K54" s="229"/>
      <c r="L54" s="316"/>
      <c r="M54" s="316"/>
      <c r="N54" s="316"/>
      <c r="Q54"/>
      <c r="S54"/>
    </row>
    <row r="55" spans="1:19" ht="12.75">
      <c r="A55" s="389" t="s">
        <v>483</v>
      </c>
      <c r="B55" s="390"/>
      <c r="C55" s="390"/>
      <c r="D55" s="390"/>
      <c r="E55" s="390"/>
      <c r="F55" s="391" t="s">
        <v>484</v>
      </c>
      <c r="G55" s="391"/>
      <c r="H55" s="391"/>
      <c r="I55" s="391"/>
      <c r="J55" s="391"/>
      <c r="K55" s="392"/>
      <c r="L55" s="316"/>
      <c r="M55" s="316"/>
      <c r="N55" s="316"/>
      <c r="Q55"/>
      <c r="S55"/>
    </row>
    <row r="56" spans="1:19" ht="12.75">
      <c r="A56" s="342" t="s">
        <v>477</v>
      </c>
      <c r="B56" s="344"/>
      <c r="C56" s="202">
        <v>175</v>
      </c>
      <c r="D56" s="371" t="s">
        <v>472</v>
      </c>
      <c r="E56" s="371"/>
      <c r="F56" s="342" t="s">
        <v>477</v>
      </c>
      <c r="G56" s="343"/>
      <c r="H56" s="344"/>
      <c r="I56" s="202">
        <v>140</v>
      </c>
      <c r="J56" s="393" t="s">
        <v>472</v>
      </c>
      <c r="K56" s="394"/>
      <c r="L56" s="316"/>
      <c r="M56" s="316"/>
      <c r="N56" s="316"/>
      <c r="Q56"/>
      <c r="R56" s="38"/>
      <c r="S56"/>
    </row>
    <row r="57" spans="1:19" ht="12.75">
      <c r="A57" s="342" t="s">
        <v>478</v>
      </c>
      <c r="B57" s="344"/>
      <c r="C57" s="202">
        <v>0</v>
      </c>
      <c r="D57" s="371" t="s">
        <v>473</v>
      </c>
      <c r="E57" s="371"/>
      <c r="F57" s="342" t="s">
        <v>478</v>
      </c>
      <c r="G57" s="343"/>
      <c r="H57" s="344"/>
      <c r="I57" s="202">
        <v>0</v>
      </c>
      <c r="J57" s="345" t="s">
        <v>473</v>
      </c>
      <c r="K57" s="346"/>
      <c r="L57" s="316"/>
      <c r="M57" s="316"/>
      <c r="N57" s="316"/>
      <c r="Q57"/>
      <c r="R57"/>
      <c r="S57"/>
    </row>
    <row r="58" spans="1:19" ht="12.75">
      <c r="A58" s="342" t="s">
        <v>479</v>
      </c>
      <c r="B58" s="344"/>
      <c r="C58" s="202">
        <v>50</v>
      </c>
      <c r="D58" s="371" t="s">
        <v>473</v>
      </c>
      <c r="E58" s="371"/>
      <c r="F58" s="342" t="s">
        <v>479</v>
      </c>
      <c r="G58" s="343"/>
      <c r="H58" s="344"/>
      <c r="I58" s="202">
        <v>40</v>
      </c>
      <c r="J58" s="345" t="s">
        <v>473</v>
      </c>
      <c r="K58" s="346"/>
      <c r="L58" s="316"/>
      <c r="M58" s="316"/>
      <c r="N58" s="316"/>
      <c r="Q58"/>
      <c r="R58"/>
      <c r="S58"/>
    </row>
    <row r="59" spans="1:19" ht="12.75">
      <c r="A59" s="342" t="s">
        <v>480</v>
      </c>
      <c r="B59" s="344"/>
      <c r="C59" s="202">
        <v>5</v>
      </c>
      <c r="D59" s="371" t="s">
        <v>472</v>
      </c>
      <c r="E59" s="371"/>
      <c r="F59" s="342" t="s">
        <v>480</v>
      </c>
      <c r="G59" s="343"/>
      <c r="H59" s="344"/>
      <c r="I59" s="202">
        <v>0</v>
      </c>
      <c r="J59" s="345" t="s">
        <v>472</v>
      </c>
      <c r="K59" s="346"/>
      <c r="L59" s="316"/>
      <c r="M59" s="316"/>
      <c r="N59" s="316"/>
      <c r="Q59"/>
      <c r="R59"/>
      <c r="S59"/>
    </row>
    <row r="60" spans="1:19" ht="12.75">
      <c r="A60" s="342" t="s">
        <v>485</v>
      </c>
      <c r="B60" s="344"/>
      <c r="C60" s="225">
        <f ca="1">INDIRECT(CONCATENATE("Konedata!",ADDRESS(Konedata!A3+4,10)))+C56+C57*0.72+C58*0.72+C59</f>
        <v>792.1</v>
      </c>
      <c r="D60" s="371" t="s">
        <v>472</v>
      </c>
      <c r="E60" s="371"/>
      <c r="F60" s="342" t="s">
        <v>485</v>
      </c>
      <c r="G60" s="343"/>
      <c r="H60" s="344"/>
      <c r="I60" s="225">
        <f ca="1">INDIRECT(CONCATENATE("Konedata!",ADDRESS(Konedata!A3+4,10)))+I56+I57*0.72+I58*0.72+I59</f>
        <v>744.9</v>
      </c>
      <c r="J60" s="345" t="s">
        <v>472</v>
      </c>
      <c r="K60" s="346"/>
      <c r="L60" s="316"/>
      <c r="M60" s="316"/>
      <c r="N60" s="316"/>
      <c r="Q60"/>
      <c r="R60"/>
      <c r="S60"/>
    </row>
    <row r="61" spans="1:19" ht="12.75">
      <c r="A61" s="342" t="s">
        <v>481</v>
      </c>
      <c r="B61" s="344"/>
      <c r="C61" s="216" t="s">
        <v>469</v>
      </c>
      <c r="D61" s="217" t="s">
        <v>482</v>
      </c>
      <c r="E61" s="217" t="s">
        <v>470</v>
      </c>
      <c r="F61" s="383" t="s">
        <v>481</v>
      </c>
      <c r="G61" s="384"/>
      <c r="H61" s="216" t="s">
        <v>469</v>
      </c>
      <c r="I61" s="216" t="s">
        <v>482</v>
      </c>
      <c r="J61" s="216" t="s">
        <v>470</v>
      </c>
      <c r="K61" s="230"/>
      <c r="L61" s="316"/>
      <c r="M61" s="316"/>
      <c r="N61" s="316"/>
      <c r="Q61"/>
      <c r="R61"/>
      <c r="S61"/>
    </row>
    <row r="62" spans="1:19" ht="12.75">
      <c r="A62" s="385"/>
      <c r="B62" s="386"/>
      <c r="C62" s="224">
        <f ca="1">INDIRECT(CONCATENATE("Konedata!",ADDRESS(Konedata!A3+4,17)))</f>
        <v>318</v>
      </c>
      <c r="D62" s="225">
        <f ca="1">(INDIRECT(CONCATENATE("Konedata!",ADDRESS(Konedata!A3+4,10)))*INDIRECT(CONCATENATE("Konedata!",ADDRESS(Konedata!A3+4,11)))+INDIRECT(CONCATENATE("Konedata!",ADDRESS(Konedata!A3+4,12)))*C56+INDIRECT(CONCATENATE("Konedata!",ADDRESS(Konedata!A3+4,13)))*C57*0.72+INDIRECT(CONCATENATE("Konedata!",ADDRESS(Konedata!A3+4,14)))*C58*0.72+INDIRECT(CONCATENATE("Konedata!",ADDRESS(Konedata!A3+4,15)))*C59)/C60</f>
        <v>330.6266885494256</v>
      </c>
      <c r="E62" s="226">
        <f ca="1">INDIRECT(CONCATENATE("Konedata!",ADDRESS(Konedata!A3+4,18)))</f>
        <v>430</v>
      </c>
      <c r="F62" s="387"/>
      <c r="G62" s="388"/>
      <c r="H62" s="224">
        <f ca="1">INDIRECT(CONCATENATE("Konedata!",ADDRESS(Konedata!A3+4,17)))</f>
        <v>318</v>
      </c>
      <c r="I62" s="225">
        <f ca="1">(INDIRECT(CONCATENATE("Konedata!",ADDRESS(Konedata!A3+4,10)))*INDIRECT(CONCATENATE("Konedata!",ADDRESS(Konedata!A3+4,11)))+INDIRECT(CONCATENATE("Konedata!",ADDRESS(Konedata!A3+4,12)))*I56+INDIRECT(CONCATENATE("Konedata!",ADDRESS(Konedata!A3+4,13)))*I57*0.72+INDIRECT(CONCATENATE("Konedata!",ADDRESS(Konedata!A3+4,14)))*I58*0.72+INDIRECT(CONCATENATE("Konedata!",ADDRESS(Konedata!A3+4,15)))*I59)/I60</f>
        <v>339.32662102295615</v>
      </c>
      <c r="J62" s="224">
        <f ca="1">INDIRECT(CONCATENATE("Konedata!",ADDRESS(Konedata!A3+4,18)))</f>
        <v>430</v>
      </c>
      <c r="K62" s="215"/>
      <c r="L62" s="316"/>
      <c r="M62" s="316"/>
      <c r="N62" s="316"/>
      <c r="Q62" s="167"/>
      <c r="R62"/>
      <c r="S62"/>
    </row>
    <row r="63" spans="1:19" ht="12.75" hidden="1">
      <c r="A63" s="251"/>
      <c r="B63" s="252" t="s">
        <v>555</v>
      </c>
      <c r="C63" s="224">
        <f ca="1">INDIRECT(CONCATENATE("Konedata!",ADDRESS(Konedata!A3+4,16)))</f>
        <v>770</v>
      </c>
      <c r="D63" s="253">
        <f>C63*1.05</f>
        <v>808.5</v>
      </c>
      <c r="E63" s="253"/>
      <c r="F63" s="255"/>
      <c r="G63" s="256"/>
      <c r="H63" s="253"/>
      <c r="I63" s="254"/>
      <c r="J63" s="253"/>
      <c r="K63" s="243"/>
      <c r="L63" s="316"/>
      <c r="M63" s="316"/>
      <c r="N63" s="316"/>
      <c r="Q63" s="167"/>
      <c r="R63"/>
      <c r="S63"/>
    </row>
    <row r="64" spans="1:14" ht="12.75" customHeight="1">
      <c r="A64" s="351" t="s">
        <v>348</v>
      </c>
      <c r="B64" s="352"/>
      <c r="C64" s="352"/>
      <c r="D64" s="352"/>
      <c r="E64" s="353"/>
      <c r="F64" s="354" t="s">
        <v>349</v>
      </c>
      <c r="G64" s="355"/>
      <c r="H64" s="355"/>
      <c r="I64" s="355"/>
      <c r="J64" s="355"/>
      <c r="K64" s="356"/>
      <c r="L64" s="316"/>
      <c r="M64" s="316"/>
      <c r="N64" s="316"/>
    </row>
    <row r="65" spans="1:14" ht="12.75">
      <c r="A65" s="357" t="s">
        <v>420</v>
      </c>
      <c r="B65" s="358"/>
      <c r="C65" s="358"/>
      <c r="D65" s="358"/>
      <c r="E65" s="359"/>
      <c r="F65" s="357" t="s">
        <v>423</v>
      </c>
      <c r="G65" s="358"/>
      <c r="H65" s="358"/>
      <c r="I65" s="358"/>
      <c r="J65" s="358"/>
      <c r="K65" s="359"/>
      <c r="L65" s="316"/>
      <c r="M65" s="316"/>
      <c r="N65" s="316"/>
    </row>
    <row r="66" spans="1:14" s="89" customFormat="1" ht="13.5" customHeight="1">
      <c r="A66" s="363" t="s">
        <v>421</v>
      </c>
      <c r="B66" s="364"/>
      <c r="C66" s="364"/>
      <c r="D66" s="364"/>
      <c r="E66" s="365"/>
      <c r="F66" s="360" t="s">
        <v>424</v>
      </c>
      <c r="G66" s="361"/>
      <c r="H66" s="361"/>
      <c r="I66" s="361"/>
      <c r="J66" s="361"/>
      <c r="K66" s="362"/>
      <c r="L66" s="316"/>
      <c r="M66" s="316"/>
      <c r="N66" s="316"/>
    </row>
    <row r="67" spans="1:14" ht="12.75">
      <c r="A67" s="377" t="s">
        <v>422</v>
      </c>
      <c r="B67" s="378"/>
      <c r="C67" s="378"/>
      <c r="D67" s="378"/>
      <c r="E67" s="379"/>
      <c r="F67" s="357" t="s">
        <v>425</v>
      </c>
      <c r="G67" s="358"/>
      <c r="H67" s="358"/>
      <c r="I67" s="358"/>
      <c r="J67" s="358"/>
      <c r="K67" s="359"/>
      <c r="L67" s="316"/>
      <c r="M67" s="316"/>
      <c r="N67" s="316"/>
    </row>
    <row r="68" spans="1:14" ht="12.75">
      <c r="A68" s="357" t="s">
        <v>427</v>
      </c>
      <c r="B68" s="358"/>
      <c r="C68" s="358"/>
      <c r="D68" s="358"/>
      <c r="E68" s="359"/>
      <c r="F68" s="360" t="s">
        <v>474</v>
      </c>
      <c r="G68" s="361"/>
      <c r="H68" s="361"/>
      <c r="I68" s="361"/>
      <c r="J68" s="361"/>
      <c r="K68" s="362"/>
      <c r="L68" s="316"/>
      <c r="M68" s="316"/>
      <c r="N68" s="316"/>
    </row>
    <row r="69" spans="1:14" ht="12.75">
      <c r="A69" s="357" t="s">
        <v>474</v>
      </c>
      <c r="B69" s="358"/>
      <c r="C69" s="358"/>
      <c r="D69" s="358"/>
      <c r="E69" s="359"/>
      <c r="F69" s="357" t="s">
        <v>426</v>
      </c>
      <c r="G69" s="358"/>
      <c r="H69" s="358"/>
      <c r="I69" s="358"/>
      <c r="J69" s="358"/>
      <c r="K69" s="359"/>
      <c r="L69" s="316"/>
      <c r="M69" s="316"/>
      <c r="N69" s="316"/>
    </row>
    <row r="70" spans="1:14" ht="12.75">
      <c r="A70" s="374" t="s">
        <v>419</v>
      </c>
      <c r="B70" s="375"/>
      <c r="C70" s="375"/>
      <c r="D70" s="375"/>
      <c r="E70" s="376"/>
      <c r="F70" s="380" t="s">
        <v>241</v>
      </c>
      <c r="G70" s="381"/>
      <c r="H70" s="381"/>
      <c r="I70" s="381"/>
      <c r="J70" s="381"/>
      <c r="K70" s="382"/>
      <c r="L70" s="316"/>
      <c r="M70" s="316"/>
      <c r="N70" s="316"/>
    </row>
    <row r="71" spans="1:14" ht="12.75">
      <c r="A71" s="316"/>
      <c r="B71" s="316"/>
      <c r="C71" s="316"/>
      <c r="D71" s="316"/>
      <c r="E71" s="316"/>
      <c r="F71" s="316"/>
      <c r="G71" s="316"/>
      <c r="H71" s="316"/>
      <c r="I71" s="316"/>
      <c r="J71" s="316"/>
      <c r="K71" s="316"/>
      <c r="L71" s="316"/>
      <c r="M71" s="316"/>
      <c r="N71" s="316"/>
    </row>
    <row r="72" spans="12:14" ht="12.75">
      <c r="L72" s="37"/>
      <c r="M72" s="37"/>
      <c r="N72" s="37"/>
    </row>
    <row r="73" spans="12:14" ht="12.75">
      <c r="L73" s="37"/>
      <c r="M73" s="37"/>
      <c r="N73" s="37"/>
    </row>
  </sheetData>
  <sheetProtection sheet="1"/>
  <mergeCells count="79">
    <mergeCell ref="L45:N71"/>
    <mergeCell ref="A60:B60"/>
    <mergeCell ref="A55:E55"/>
    <mergeCell ref="F55:K55"/>
    <mergeCell ref="A56:B56"/>
    <mergeCell ref="A57:B57"/>
    <mergeCell ref="A58:B58"/>
    <mergeCell ref="A59:B59"/>
    <mergeCell ref="J56:K56"/>
    <mergeCell ref="J57:K57"/>
    <mergeCell ref="A61:B61"/>
    <mergeCell ref="F61:G61"/>
    <mergeCell ref="A62:B62"/>
    <mergeCell ref="F62:G62"/>
    <mergeCell ref="J59:K59"/>
    <mergeCell ref="F59:H59"/>
    <mergeCell ref="D59:E59"/>
    <mergeCell ref="D60:E60"/>
    <mergeCell ref="F60:H60"/>
    <mergeCell ref="A70:E70"/>
    <mergeCell ref="A69:E69"/>
    <mergeCell ref="A68:E68"/>
    <mergeCell ref="A67:E67"/>
    <mergeCell ref="F70:K70"/>
    <mergeCell ref="F68:K68"/>
    <mergeCell ref="F69:K69"/>
    <mergeCell ref="F67:K67"/>
    <mergeCell ref="A51:C51"/>
    <mergeCell ref="A52:C52"/>
    <mergeCell ref="D47:E47"/>
    <mergeCell ref="D48:E48"/>
    <mergeCell ref="D49:E49"/>
    <mergeCell ref="D50:E50"/>
    <mergeCell ref="D51:E51"/>
    <mergeCell ref="A47:C47"/>
    <mergeCell ref="A48:C48"/>
    <mergeCell ref="A49:C49"/>
    <mergeCell ref="A71:K71"/>
    <mergeCell ref="F47:H47"/>
    <mergeCell ref="F48:H48"/>
    <mergeCell ref="F49:H49"/>
    <mergeCell ref="F50:H50"/>
    <mergeCell ref="F51:H51"/>
    <mergeCell ref="F52:H52"/>
    <mergeCell ref="D56:E56"/>
    <mergeCell ref="D57:E57"/>
    <mergeCell ref="D58:E58"/>
    <mergeCell ref="A64:E64"/>
    <mergeCell ref="F64:K64"/>
    <mergeCell ref="A65:E65"/>
    <mergeCell ref="F65:K65"/>
    <mergeCell ref="F66:K66"/>
    <mergeCell ref="A66:E66"/>
    <mergeCell ref="F6:I6"/>
    <mergeCell ref="F7:I7"/>
    <mergeCell ref="A50:C50"/>
    <mergeCell ref="F56:H56"/>
    <mergeCell ref="J60:K60"/>
    <mergeCell ref="J58:K58"/>
    <mergeCell ref="F57:H57"/>
    <mergeCell ref="F58:H58"/>
    <mergeCell ref="J45:J52"/>
    <mergeCell ref="A45:E45"/>
    <mergeCell ref="A8:C8"/>
    <mergeCell ref="A9:C9"/>
    <mergeCell ref="A4:C4"/>
    <mergeCell ref="A5:C5"/>
    <mergeCell ref="A6:C6"/>
    <mergeCell ref="A7:C7"/>
    <mergeCell ref="A11:E11"/>
    <mergeCell ref="D52:E52"/>
    <mergeCell ref="F46:H46"/>
    <mergeCell ref="Q10:Q11"/>
    <mergeCell ref="L4:N10"/>
    <mergeCell ref="F10:I10"/>
    <mergeCell ref="F8:I8"/>
    <mergeCell ref="F9:I9"/>
    <mergeCell ref="F4:I4"/>
    <mergeCell ref="F5:I5"/>
  </mergeCells>
  <conditionalFormatting sqref="I62:I63 D62">
    <cfRule type="cellIs" priority="1" dxfId="7" operator="between" stopIfTrue="1">
      <formula>C62</formula>
      <formula>E62</formula>
    </cfRule>
    <cfRule type="cellIs" priority="2" dxfId="5" operator="notBetween" stopIfTrue="1">
      <formula>C62</formula>
      <formula>E62</formula>
    </cfRule>
  </conditionalFormatting>
  <conditionalFormatting sqref="D6">
    <cfRule type="cellIs" priority="3" dxfId="13" operator="between" stopIfTrue="1">
      <formula>0</formula>
      <formula>J9</formula>
    </cfRule>
    <cfRule type="cellIs" priority="4" dxfId="12" operator="between" stopIfTrue="1">
      <formula>J9</formula>
      <formula>K9</formula>
    </cfRule>
    <cfRule type="cellIs" priority="5" dxfId="11" operator="greaterThanOrEqual" stopIfTrue="1">
      <formula>K9</formula>
    </cfRule>
  </conditionalFormatting>
  <conditionalFormatting sqref="C60">
    <cfRule type="cellIs" priority="11" dxfId="7" operator="lessThanOrEqual" stopIfTrue="1">
      <formula>C63</formula>
    </cfRule>
    <cfRule type="cellIs" priority="12" dxfId="6" operator="between" stopIfTrue="1">
      <formula>C63</formula>
      <formula>D63</formula>
    </cfRule>
    <cfRule type="cellIs" priority="13" dxfId="5" operator="greaterThan" stopIfTrue="1">
      <formula>D63</formula>
    </cfRule>
  </conditionalFormatting>
  <conditionalFormatting sqref="I60">
    <cfRule type="cellIs" priority="14" dxfId="7" operator="lessThanOrEqual" stopIfTrue="1">
      <formula>C63</formula>
    </cfRule>
    <cfRule type="cellIs" priority="15" dxfId="6" operator="between" stopIfTrue="1">
      <formula>C63</formula>
      <formula>D63</formula>
    </cfRule>
    <cfRule type="cellIs" priority="16" dxfId="5" operator="greaterThan" stopIfTrue="1">
      <formula>D63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1" r:id="rId3"/>
  <headerFooter alignWithMargins="0">
    <oddHeader>&amp;L&amp;"Arial,Lihavoitu Kursivoi"&amp;18MATKALENTOLASKELMA&amp;R&amp;D
&amp;T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/>
  <dimension ref="A1:AA36"/>
  <sheetViews>
    <sheetView zoomScalePageLayoutView="0" workbookViewId="0" topLeftCell="A1">
      <selection activeCell="A10" sqref="A10"/>
    </sheetView>
  </sheetViews>
  <sheetFormatPr defaultColWidth="10.7109375" defaultRowHeight="12.75"/>
  <cols>
    <col min="1" max="1" width="10.7109375" style="0" customWidth="1"/>
    <col min="2" max="9" width="5.7109375" style="0" customWidth="1"/>
  </cols>
  <sheetData>
    <row r="1" spans="1:27" ht="26.25">
      <c r="A1" s="400" t="s">
        <v>25</v>
      </c>
      <c r="B1" s="401"/>
      <c r="C1" s="401"/>
      <c r="D1" s="401"/>
      <c r="E1" s="401"/>
      <c r="F1" s="401"/>
      <c r="G1" s="401"/>
      <c r="H1" s="401"/>
      <c r="I1" s="402"/>
      <c r="J1" s="400" t="s">
        <v>459</v>
      </c>
      <c r="K1" s="401"/>
      <c r="L1" s="401"/>
      <c r="M1" s="401"/>
      <c r="N1" s="401"/>
      <c r="O1" s="401"/>
      <c r="P1" s="401"/>
      <c r="Q1" s="401"/>
      <c r="R1" s="402"/>
      <c r="S1" s="196" t="s">
        <v>497</v>
      </c>
      <c r="T1" s="197"/>
      <c r="U1" s="206"/>
      <c r="V1" s="206"/>
      <c r="W1" s="206"/>
      <c r="X1" s="206"/>
      <c r="Y1" s="206"/>
      <c r="Z1" s="206"/>
      <c r="AA1" s="6"/>
    </row>
    <row r="2" spans="1:27" ht="12.75">
      <c r="A2" s="193" t="s">
        <v>487</v>
      </c>
      <c r="B2" s="403" t="s">
        <v>458</v>
      </c>
      <c r="C2" s="404"/>
      <c r="D2" s="404"/>
      <c r="E2" s="404"/>
      <c r="F2" s="404"/>
      <c r="G2" s="404"/>
      <c r="H2" s="404"/>
      <c r="I2" s="396"/>
      <c r="J2" s="395" t="s">
        <v>462</v>
      </c>
      <c r="K2" s="405"/>
      <c r="L2" s="160" t="s">
        <v>465</v>
      </c>
      <c r="M2" s="168" t="s">
        <v>466</v>
      </c>
      <c r="N2" s="168" t="s">
        <v>467</v>
      </c>
      <c r="O2" s="160" t="s">
        <v>468</v>
      </c>
      <c r="P2" s="244" t="s">
        <v>554</v>
      </c>
      <c r="Q2" s="403" t="s">
        <v>471</v>
      </c>
      <c r="R2" s="396"/>
      <c r="S2" s="395" t="s">
        <v>501</v>
      </c>
      <c r="T2" s="396"/>
      <c r="U2" s="205"/>
      <c r="V2" s="205"/>
      <c r="W2" s="205"/>
      <c r="X2" s="205"/>
      <c r="Y2" s="205"/>
      <c r="Z2" s="205"/>
      <c r="AA2" s="130"/>
    </row>
    <row r="3" spans="1:27" ht="12.75">
      <c r="A3" s="192">
        <v>3</v>
      </c>
      <c r="B3" s="159">
        <v>0</v>
      </c>
      <c r="C3" s="161">
        <v>45</v>
      </c>
      <c r="D3" s="161">
        <v>90</v>
      </c>
      <c r="E3" s="161">
        <v>135</v>
      </c>
      <c r="F3" s="161">
        <v>180</v>
      </c>
      <c r="G3" s="161">
        <v>225</v>
      </c>
      <c r="H3" s="161">
        <v>270</v>
      </c>
      <c r="I3" s="175">
        <v>315</v>
      </c>
      <c r="J3" s="184" t="s">
        <v>460</v>
      </c>
      <c r="K3" s="165" t="s">
        <v>464</v>
      </c>
      <c r="L3" s="163" t="s">
        <v>464</v>
      </c>
      <c r="M3" s="165" t="s">
        <v>464</v>
      </c>
      <c r="N3" s="165" t="s">
        <v>464</v>
      </c>
      <c r="O3" s="163" t="s">
        <v>464</v>
      </c>
      <c r="P3" s="250" t="s">
        <v>460</v>
      </c>
      <c r="Q3" s="162" t="s">
        <v>469</v>
      </c>
      <c r="R3" s="185" t="s">
        <v>470</v>
      </c>
      <c r="S3" s="184" t="s">
        <v>499</v>
      </c>
      <c r="T3" s="185" t="s">
        <v>500</v>
      </c>
      <c r="U3" s="131"/>
      <c r="V3" s="131"/>
      <c r="W3" s="131"/>
      <c r="X3" s="131"/>
      <c r="Y3" s="131"/>
      <c r="Z3" s="131"/>
      <c r="AA3" s="130"/>
    </row>
    <row r="4" spans="1:27" ht="12.75">
      <c r="A4" s="176" t="s">
        <v>440</v>
      </c>
      <c r="B4" s="397" t="s">
        <v>455</v>
      </c>
      <c r="C4" s="398"/>
      <c r="D4" s="398"/>
      <c r="E4" s="398"/>
      <c r="F4" s="398"/>
      <c r="G4" s="398"/>
      <c r="H4" s="398"/>
      <c r="I4" s="399"/>
      <c r="J4" s="186" t="s">
        <v>461</v>
      </c>
      <c r="K4" s="166" t="s">
        <v>463</v>
      </c>
      <c r="L4" s="164" t="s">
        <v>463</v>
      </c>
      <c r="M4" s="166" t="s">
        <v>463</v>
      </c>
      <c r="N4" s="166" t="s">
        <v>463</v>
      </c>
      <c r="O4" s="164" t="s">
        <v>463</v>
      </c>
      <c r="P4" s="164" t="s">
        <v>461</v>
      </c>
      <c r="Q4" s="166" t="s">
        <v>463</v>
      </c>
      <c r="R4" s="187" t="s">
        <v>463</v>
      </c>
      <c r="S4" s="186" t="s">
        <v>498</v>
      </c>
      <c r="T4" s="207" t="s">
        <v>498</v>
      </c>
      <c r="U4" s="131"/>
      <c r="V4" s="131"/>
      <c r="W4" s="131"/>
      <c r="X4" s="131"/>
      <c r="Y4" s="131"/>
      <c r="Z4" s="131"/>
      <c r="AA4" s="130"/>
    </row>
    <row r="5" spans="1:27" ht="12.75">
      <c r="A5" s="177" t="s">
        <v>840</v>
      </c>
      <c r="B5" s="112">
        <v>-3</v>
      </c>
      <c r="C5" s="112">
        <v>2</v>
      </c>
      <c r="D5" s="112">
        <v>0</v>
      </c>
      <c r="E5" s="112">
        <v>-3</v>
      </c>
      <c r="F5" s="112">
        <v>1</v>
      </c>
      <c r="G5" s="112">
        <v>-3</v>
      </c>
      <c r="H5" s="112">
        <v>-1</v>
      </c>
      <c r="I5" s="178">
        <v>4</v>
      </c>
      <c r="J5" s="188">
        <v>654.49</v>
      </c>
      <c r="K5" s="112">
        <v>359</v>
      </c>
      <c r="L5" s="112">
        <v>83</v>
      </c>
      <c r="M5" s="112">
        <v>1000</v>
      </c>
      <c r="N5" s="112">
        <v>0</v>
      </c>
      <c r="O5" s="112">
        <v>720</v>
      </c>
      <c r="P5" s="112">
        <v>850</v>
      </c>
      <c r="Q5" s="112">
        <v>250</v>
      </c>
      <c r="R5" s="178">
        <v>425</v>
      </c>
      <c r="S5" s="208">
        <v>11</v>
      </c>
      <c r="T5" s="211">
        <v>20</v>
      </c>
      <c r="U5" s="131"/>
      <c r="V5" s="131"/>
      <c r="W5" s="131"/>
      <c r="X5" s="131"/>
      <c r="Y5" s="131"/>
      <c r="Z5" s="131"/>
      <c r="AA5" s="130"/>
    </row>
    <row r="6" spans="1:27" ht="12.75">
      <c r="A6" s="179" t="s">
        <v>841</v>
      </c>
      <c r="B6" s="119">
        <v>0</v>
      </c>
      <c r="C6" s="119">
        <v>0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80">
        <v>0</v>
      </c>
      <c r="J6" s="189">
        <v>496.85</v>
      </c>
      <c r="K6" s="119">
        <v>2444</v>
      </c>
      <c r="L6" s="119">
        <v>2163</v>
      </c>
      <c r="M6" s="119">
        <v>1358</v>
      </c>
      <c r="N6" s="119">
        <v>0</v>
      </c>
      <c r="O6" s="119">
        <v>3313</v>
      </c>
      <c r="P6" s="119">
        <v>680</v>
      </c>
      <c r="Q6" s="119">
        <v>2335</v>
      </c>
      <c r="R6" s="180">
        <v>2537</v>
      </c>
      <c r="S6" s="209">
        <v>10</v>
      </c>
      <c r="T6" s="212">
        <v>20</v>
      </c>
      <c r="U6" s="131"/>
      <c r="V6" s="131"/>
      <c r="W6" s="131"/>
      <c r="X6" s="131"/>
      <c r="Y6" s="131"/>
      <c r="Z6" s="131"/>
      <c r="AA6" s="130"/>
    </row>
    <row r="7" spans="1:27" ht="12.75">
      <c r="A7" s="305" t="s">
        <v>839</v>
      </c>
      <c r="B7" s="299">
        <v>2</v>
      </c>
      <c r="C7" s="299">
        <v>2</v>
      </c>
      <c r="D7" s="299">
        <v>-1</v>
      </c>
      <c r="E7" s="299">
        <v>-1</v>
      </c>
      <c r="F7" s="299">
        <v>-2</v>
      </c>
      <c r="G7" s="299">
        <v>0</v>
      </c>
      <c r="H7" s="299">
        <v>0</v>
      </c>
      <c r="I7" s="300">
        <v>0</v>
      </c>
      <c r="J7" s="301">
        <v>576.1</v>
      </c>
      <c r="K7" s="299">
        <v>404</v>
      </c>
      <c r="L7" s="299">
        <v>143</v>
      </c>
      <c r="M7" s="299">
        <v>824</v>
      </c>
      <c r="N7" s="299">
        <v>0</v>
      </c>
      <c r="O7" s="299">
        <v>824</v>
      </c>
      <c r="P7" s="299">
        <v>770</v>
      </c>
      <c r="Q7" s="299">
        <v>318</v>
      </c>
      <c r="R7" s="300">
        <v>430</v>
      </c>
      <c r="S7" s="302">
        <v>16</v>
      </c>
      <c r="T7" s="303">
        <v>25</v>
      </c>
      <c r="U7" s="131"/>
      <c r="V7" s="131"/>
      <c r="W7" s="131"/>
      <c r="X7" s="131"/>
      <c r="Y7" s="131"/>
      <c r="Z7" s="131"/>
      <c r="AA7" s="130"/>
    </row>
    <row r="8" spans="1:27" ht="12.75">
      <c r="A8" s="304" t="s">
        <v>843</v>
      </c>
      <c r="B8" s="119">
        <v>0</v>
      </c>
      <c r="C8" s="119">
        <v>0</v>
      </c>
      <c r="D8" s="119">
        <v>0</v>
      </c>
      <c r="E8" s="119">
        <v>0</v>
      </c>
      <c r="F8" s="119">
        <v>0</v>
      </c>
      <c r="G8" s="119">
        <v>0</v>
      </c>
      <c r="H8" s="119">
        <v>0</v>
      </c>
      <c r="I8" s="180">
        <v>0</v>
      </c>
      <c r="J8" s="189">
        <v>274.5</v>
      </c>
      <c r="K8" s="119">
        <v>1300</v>
      </c>
      <c r="L8" s="119">
        <v>0</v>
      </c>
      <c r="M8" s="119">
        <v>0</v>
      </c>
      <c r="N8" s="119">
        <v>0</v>
      </c>
      <c r="O8" s="119">
        <v>0</v>
      </c>
      <c r="P8" s="119">
        <v>472.5</v>
      </c>
      <c r="Q8" s="119">
        <v>325</v>
      </c>
      <c r="R8" s="180">
        <v>434</v>
      </c>
      <c r="S8" s="209">
        <v>10</v>
      </c>
      <c r="T8" s="212">
        <v>23</v>
      </c>
      <c r="U8" s="131"/>
      <c r="V8" s="131"/>
      <c r="W8" s="131"/>
      <c r="X8" s="131"/>
      <c r="Y8" s="131"/>
      <c r="Z8" s="131"/>
      <c r="AA8" s="130"/>
    </row>
    <row r="9" spans="1:27" ht="12.75">
      <c r="A9" s="306" t="s">
        <v>842</v>
      </c>
      <c r="B9" s="307">
        <v>0</v>
      </c>
      <c r="C9" s="307">
        <v>0</v>
      </c>
      <c r="D9" s="307">
        <v>0</v>
      </c>
      <c r="E9" s="307">
        <v>0</v>
      </c>
      <c r="F9" s="307">
        <v>0</v>
      </c>
      <c r="G9" s="307">
        <v>0</v>
      </c>
      <c r="H9" s="307">
        <v>0</v>
      </c>
      <c r="I9" s="308">
        <v>0</v>
      </c>
      <c r="J9" s="309">
        <v>0</v>
      </c>
      <c r="K9" s="307">
        <v>0</v>
      </c>
      <c r="L9" s="307">
        <v>0</v>
      </c>
      <c r="M9" s="307">
        <v>0</v>
      </c>
      <c r="N9" s="307">
        <v>0</v>
      </c>
      <c r="O9" s="307">
        <v>0</v>
      </c>
      <c r="P9" s="307"/>
      <c r="Q9" s="307">
        <v>0</v>
      </c>
      <c r="R9" s="308">
        <v>0</v>
      </c>
      <c r="S9" s="310">
        <v>0</v>
      </c>
      <c r="T9" s="311">
        <v>0</v>
      </c>
      <c r="U9" s="131"/>
      <c r="V9" s="131"/>
      <c r="W9" s="131"/>
      <c r="X9" s="131"/>
      <c r="Y9" s="131"/>
      <c r="Z9" s="131"/>
      <c r="AA9" s="130"/>
    </row>
    <row r="10" spans="1:27" ht="12.75">
      <c r="A10" s="179" t="s">
        <v>844</v>
      </c>
      <c r="B10" s="119">
        <v>0</v>
      </c>
      <c r="C10" s="119">
        <v>0</v>
      </c>
      <c r="D10" s="119">
        <v>0</v>
      </c>
      <c r="E10" s="119">
        <v>0</v>
      </c>
      <c r="F10" s="119">
        <v>0</v>
      </c>
      <c r="G10" s="119">
        <v>0</v>
      </c>
      <c r="H10" s="119">
        <v>0</v>
      </c>
      <c r="I10" s="180">
        <v>0</v>
      </c>
      <c r="J10" s="189">
        <v>0</v>
      </c>
      <c r="K10" s="119">
        <v>0</v>
      </c>
      <c r="L10" s="119">
        <v>0</v>
      </c>
      <c r="M10" s="119">
        <v>0</v>
      </c>
      <c r="N10" s="119">
        <v>0</v>
      </c>
      <c r="O10" s="119">
        <v>0</v>
      </c>
      <c r="P10" s="119"/>
      <c r="Q10" s="119">
        <v>0</v>
      </c>
      <c r="R10" s="180">
        <v>0</v>
      </c>
      <c r="S10" s="209">
        <v>0</v>
      </c>
      <c r="T10" s="212">
        <v>0</v>
      </c>
      <c r="U10" s="131"/>
      <c r="V10" s="131"/>
      <c r="W10" s="131"/>
      <c r="X10" s="131"/>
      <c r="Y10" s="131"/>
      <c r="Z10" s="131"/>
      <c r="AA10" s="130"/>
    </row>
    <row r="11" spans="1:27" ht="12.75">
      <c r="A11" s="177" t="s">
        <v>441</v>
      </c>
      <c r="B11" s="112">
        <v>0</v>
      </c>
      <c r="C11" s="112">
        <v>0</v>
      </c>
      <c r="D11" s="112">
        <v>0</v>
      </c>
      <c r="E11" s="112">
        <v>0</v>
      </c>
      <c r="F11" s="112">
        <v>0</v>
      </c>
      <c r="G11" s="112">
        <v>0</v>
      </c>
      <c r="H11" s="112">
        <v>0</v>
      </c>
      <c r="I11" s="178">
        <v>0</v>
      </c>
      <c r="J11" s="190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  <c r="P11" s="112"/>
      <c r="Q11" s="112">
        <v>0</v>
      </c>
      <c r="R11" s="178">
        <v>0</v>
      </c>
      <c r="S11" s="208">
        <v>0</v>
      </c>
      <c r="T11" s="211">
        <v>0</v>
      </c>
      <c r="U11" s="131"/>
      <c r="V11" s="131"/>
      <c r="W11" s="131"/>
      <c r="X11" s="131"/>
      <c r="Y11" s="131"/>
      <c r="Z11" s="131"/>
      <c r="AA11" s="130"/>
    </row>
    <row r="12" spans="1:27" ht="12.75">
      <c r="A12" s="179" t="s">
        <v>442</v>
      </c>
      <c r="B12" s="119">
        <v>0</v>
      </c>
      <c r="C12" s="119">
        <v>0</v>
      </c>
      <c r="D12" s="119">
        <v>0</v>
      </c>
      <c r="E12" s="119">
        <v>0</v>
      </c>
      <c r="F12" s="119">
        <v>0</v>
      </c>
      <c r="G12" s="119">
        <v>0</v>
      </c>
      <c r="H12" s="119">
        <v>0</v>
      </c>
      <c r="I12" s="180">
        <v>0</v>
      </c>
      <c r="J12" s="189">
        <v>0</v>
      </c>
      <c r="K12" s="119">
        <v>0</v>
      </c>
      <c r="L12" s="119">
        <v>0</v>
      </c>
      <c r="M12" s="119">
        <v>0</v>
      </c>
      <c r="N12" s="119">
        <v>0</v>
      </c>
      <c r="O12" s="119">
        <v>0</v>
      </c>
      <c r="P12" s="119"/>
      <c r="Q12" s="119">
        <v>0</v>
      </c>
      <c r="R12" s="180">
        <v>0</v>
      </c>
      <c r="S12" s="209">
        <v>0</v>
      </c>
      <c r="T12" s="212">
        <v>0</v>
      </c>
      <c r="U12" s="131"/>
      <c r="V12" s="131"/>
      <c r="W12" s="131"/>
      <c r="X12" s="131"/>
      <c r="Y12" s="131"/>
      <c r="Z12" s="131"/>
      <c r="AA12" s="130"/>
    </row>
    <row r="13" spans="1:27" ht="12.75">
      <c r="A13" s="177" t="s">
        <v>443</v>
      </c>
      <c r="B13" s="112">
        <v>0</v>
      </c>
      <c r="C13" s="112">
        <v>0</v>
      </c>
      <c r="D13" s="112">
        <v>0</v>
      </c>
      <c r="E13" s="112">
        <v>0</v>
      </c>
      <c r="F13" s="112">
        <v>0</v>
      </c>
      <c r="G13" s="112">
        <v>0</v>
      </c>
      <c r="H13" s="112">
        <v>0</v>
      </c>
      <c r="I13" s="178">
        <v>0</v>
      </c>
      <c r="J13" s="190">
        <v>0</v>
      </c>
      <c r="K13" s="112">
        <v>0</v>
      </c>
      <c r="L13" s="112">
        <v>0</v>
      </c>
      <c r="M13" s="112">
        <v>0</v>
      </c>
      <c r="N13" s="112">
        <v>0</v>
      </c>
      <c r="O13" s="112">
        <v>0</v>
      </c>
      <c r="P13" s="112"/>
      <c r="Q13" s="112">
        <v>0</v>
      </c>
      <c r="R13" s="178">
        <v>0</v>
      </c>
      <c r="S13" s="208">
        <v>0</v>
      </c>
      <c r="T13" s="211">
        <v>0</v>
      </c>
      <c r="U13" s="131"/>
      <c r="V13" s="131"/>
      <c r="W13" s="131"/>
      <c r="X13" s="131"/>
      <c r="Y13" s="131"/>
      <c r="Z13" s="131"/>
      <c r="AA13" s="130"/>
    </row>
    <row r="14" spans="1:27" ht="12.75">
      <c r="A14" s="179" t="s">
        <v>444</v>
      </c>
      <c r="B14" s="119">
        <v>0</v>
      </c>
      <c r="C14" s="119">
        <v>0</v>
      </c>
      <c r="D14" s="119">
        <v>0</v>
      </c>
      <c r="E14" s="119">
        <v>0</v>
      </c>
      <c r="F14" s="119">
        <v>0</v>
      </c>
      <c r="G14" s="119">
        <v>0</v>
      </c>
      <c r="H14" s="119">
        <v>0</v>
      </c>
      <c r="I14" s="180">
        <v>0</v>
      </c>
      <c r="J14" s="189">
        <v>0</v>
      </c>
      <c r="K14" s="119">
        <v>0</v>
      </c>
      <c r="L14" s="119">
        <v>0</v>
      </c>
      <c r="M14" s="119">
        <v>0</v>
      </c>
      <c r="N14" s="119">
        <v>0</v>
      </c>
      <c r="O14" s="119">
        <v>0</v>
      </c>
      <c r="P14" s="119"/>
      <c r="Q14" s="119">
        <v>0</v>
      </c>
      <c r="R14" s="180">
        <v>0</v>
      </c>
      <c r="S14" s="209">
        <v>0</v>
      </c>
      <c r="T14" s="212">
        <v>0</v>
      </c>
      <c r="U14" s="131"/>
      <c r="V14" s="131"/>
      <c r="W14" s="131"/>
      <c r="X14" s="131"/>
      <c r="Y14" s="131"/>
      <c r="Z14" s="131"/>
      <c r="AA14" s="130"/>
    </row>
    <row r="15" spans="1:27" ht="12.75">
      <c r="A15" s="177" t="s">
        <v>445</v>
      </c>
      <c r="B15" s="112">
        <v>0</v>
      </c>
      <c r="C15" s="112">
        <v>0</v>
      </c>
      <c r="D15" s="112">
        <v>0</v>
      </c>
      <c r="E15" s="112">
        <v>0</v>
      </c>
      <c r="F15" s="112">
        <v>0</v>
      </c>
      <c r="G15" s="112">
        <v>0</v>
      </c>
      <c r="H15" s="112">
        <v>0</v>
      </c>
      <c r="I15" s="178">
        <v>0</v>
      </c>
      <c r="J15" s="190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0</v>
      </c>
      <c r="P15" s="112"/>
      <c r="Q15" s="112">
        <v>0</v>
      </c>
      <c r="R15" s="178">
        <v>0</v>
      </c>
      <c r="S15" s="208">
        <v>0</v>
      </c>
      <c r="T15" s="211">
        <v>0</v>
      </c>
      <c r="U15" s="131"/>
      <c r="V15" s="131"/>
      <c r="W15" s="131"/>
      <c r="X15" s="131"/>
      <c r="Y15" s="131"/>
      <c r="Z15" s="131"/>
      <c r="AA15" s="130"/>
    </row>
    <row r="16" spans="1:27" ht="12.75">
      <c r="A16" s="179" t="s">
        <v>446</v>
      </c>
      <c r="B16" s="119">
        <v>0</v>
      </c>
      <c r="C16" s="119">
        <v>0</v>
      </c>
      <c r="D16" s="119">
        <v>0</v>
      </c>
      <c r="E16" s="119">
        <v>0</v>
      </c>
      <c r="F16" s="119">
        <v>0</v>
      </c>
      <c r="G16" s="119">
        <v>0</v>
      </c>
      <c r="H16" s="119">
        <v>0</v>
      </c>
      <c r="I16" s="180">
        <v>0</v>
      </c>
      <c r="J16" s="189">
        <v>0</v>
      </c>
      <c r="K16" s="119">
        <v>0</v>
      </c>
      <c r="L16" s="119">
        <v>0</v>
      </c>
      <c r="M16" s="119">
        <v>0</v>
      </c>
      <c r="N16" s="119">
        <v>0</v>
      </c>
      <c r="O16" s="119">
        <v>0</v>
      </c>
      <c r="P16" s="119"/>
      <c r="Q16" s="119">
        <v>0</v>
      </c>
      <c r="R16" s="180">
        <v>0</v>
      </c>
      <c r="S16" s="209">
        <v>0</v>
      </c>
      <c r="T16" s="212">
        <v>0</v>
      </c>
      <c r="U16" s="131"/>
      <c r="V16" s="131"/>
      <c r="W16" s="131"/>
      <c r="X16" s="131"/>
      <c r="Y16" s="131"/>
      <c r="Z16" s="131"/>
      <c r="AA16" s="130"/>
    </row>
    <row r="17" spans="1:27" ht="12.75">
      <c r="A17" s="177" t="s">
        <v>447</v>
      </c>
      <c r="B17" s="112">
        <v>0</v>
      </c>
      <c r="C17" s="112">
        <v>0</v>
      </c>
      <c r="D17" s="112">
        <v>0</v>
      </c>
      <c r="E17" s="112">
        <v>0</v>
      </c>
      <c r="F17" s="112">
        <v>0</v>
      </c>
      <c r="G17" s="112">
        <v>0</v>
      </c>
      <c r="H17" s="112">
        <v>0</v>
      </c>
      <c r="I17" s="178">
        <v>0</v>
      </c>
      <c r="J17" s="190">
        <v>0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2"/>
      <c r="Q17" s="112">
        <v>0</v>
      </c>
      <c r="R17" s="178">
        <v>0</v>
      </c>
      <c r="S17" s="208">
        <v>0</v>
      </c>
      <c r="T17" s="211">
        <v>0</v>
      </c>
      <c r="U17" s="131"/>
      <c r="V17" s="131"/>
      <c r="W17" s="131"/>
      <c r="X17" s="131"/>
      <c r="Y17" s="131"/>
      <c r="Z17" s="131"/>
      <c r="AA17" s="130"/>
    </row>
    <row r="18" spans="1:27" ht="12.75">
      <c r="A18" s="179" t="s">
        <v>448</v>
      </c>
      <c r="B18" s="119">
        <v>0</v>
      </c>
      <c r="C18" s="119">
        <v>0</v>
      </c>
      <c r="D18" s="119">
        <v>0</v>
      </c>
      <c r="E18" s="119">
        <v>0</v>
      </c>
      <c r="F18" s="119">
        <v>0</v>
      </c>
      <c r="G18" s="119">
        <v>0</v>
      </c>
      <c r="H18" s="119">
        <v>0</v>
      </c>
      <c r="I18" s="180">
        <v>0</v>
      </c>
      <c r="J18" s="189">
        <v>0</v>
      </c>
      <c r="K18" s="119">
        <v>0</v>
      </c>
      <c r="L18" s="119">
        <v>0</v>
      </c>
      <c r="M18" s="119">
        <v>0</v>
      </c>
      <c r="N18" s="119">
        <v>0</v>
      </c>
      <c r="O18" s="119">
        <v>0</v>
      </c>
      <c r="P18" s="119"/>
      <c r="Q18" s="119">
        <v>0</v>
      </c>
      <c r="R18" s="180">
        <v>0</v>
      </c>
      <c r="S18" s="209">
        <v>0</v>
      </c>
      <c r="T18" s="212">
        <v>0</v>
      </c>
      <c r="U18" s="131"/>
      <c r="V18" s="131"/>
      <c r="W18" s="131"/>
      <c r="X18" s="131"/>
      <c r="Y18" s="131"/>
      <c r="Z18" s="131"/>
      <c r="AA18" s="130"/>
    </row>
    <row r="19" spans="1:27" ht="12.75">
      <c r="A19" s="177" t="s">
        <v>449</v>
      </c>
      <c r="B19" s="112">
        <v>0</v>
      </c>
      <c r="C19" s="112">
        <v>0</v>
      </c>
      <c r="D19" s="112">
        <v>0</v>
      </c>
      <c r="E19" s="112">
        <v>0</v>
      </c>
      <c r="F19" s="112">
        <v>0</v>
      </c>
      <c r="G19" s="112">
        <v>0</v>
      </c>
      <c r="H19" s="112">
        <v>0</v>
      </c>
      <c r="I19" s="178">
        <v>0</v>
      </c>
      <c r="J19" s="190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/>
      <c r="Q19" s="112">
        <v>0</v>
      </c>
      <c r="R19" s="178">
        <v>0</v>
      </c>
      <c r="S19" s="208">
        <v>0</v>
      </c>
      <c r="T19" s="211">
        <v>0</v>
      </c>
      <c r="U19" s="131"/>
      <c r="V19" s="131"/>
      <c r="W19" s="131"/>
      <c r="X19" s="131"/>
      <c r="Y19" s="131"/>
      <c r="Z19" s="131"/>
      <c r="AA19" s="130"/>
    </row>
    <row r="20" spans="1:27" ht="12.75">
      <c r="A20" s="179" t="s">
        <v>450</v>
      </c>
      <c r="B20" s="119">
        <v>0</v>
      </c>
      <c r="C20" s="119">
        <v>0</v>
      </c>
      <c r="D20" s="119">
        <v>0</v>
      </c>
      <c r="E20" s="119">
        <v>0</v>
      </c>
      <c r="F20" s="119">
        <v>0</v>
      </c>
      <c r="G20" s="119">
        <v>0</v>
      </c>
      <c r="H20" s="119">
        <v>0</v>
      </c>
      <c r="I20" s="180">
        <v>0</v>
      </c>
      <c r="J20" s="189">
        <v>0</v>
      </c>
      <c r="K20" s="119">
        <v>0</v>
      </c>
      <c r="L20" s="119">
        <v>0</v>
      </c>
      <c r="M20" s="119">
        <v>0</v>
      </c>
      <c r="N20" s="119">
        <v>0</v>
      </c>
      <c r="O20" s="119">
        <v>0</v>
      </c>
      <c r="P20" s="119"/>
      <c r="Q20" s="119">
        <v>0</v>
      </c>
      <c r="R20" s="180">
        <v>0</v>
      </c>
      <c r="S20" s="209">
        <v>0</v>
      </c>
      <c r="T20" s="212">
        <v>0</v>
      </c>
      <c r="U20" s="131"/>
      <c r="V20" s="131"/>
      <c r="W20" s="131"/>
      <c r="X20" s="131"/>
      <c r="Y20" s="131"/>
      <c r="Z20" s="131"/>
      <c r="AA20" s="130"/>
    </row>
    <row r="21" spans="1:27" ht="12.75">
      <c r="A21" s="177" t="s">
        <v>451</v>
      </c>
      <c r="B21" s="112">
        <v>0</v>
      </c>
      <c r="C21" s="112">
        <v>0</v>
      </c>
      <c r="D21" s="112">
        <v>0</v>
      </c>
      <c r="E21" s="112">
        <v>0</v>
      </c>
      <c r="F21" s="112">
        <v>0</v>
      </c>
      <c r="G21" s="112">
        <v>0</v>
      </c>
      <c r="H21" s="112">
        <v>0</v>
      </c>
      <c r="I21" s="178">
        <v>0</v>
      </c>
      <c r="J21" s="190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/>
      <c r="Q21" s="112">
        <v>0</v>
      </c>
      <c r="R21" s="178">
        <v>0</v>
      </c>
      <c r="S21" s="208">
        <v>0</v>
      </c>
      <c r="T21" s="211">
        <v>0</v>
      </c>
      <c r="U21" s="131"/>
      <c r="V21" s="131"/>
      <c r="W21" s="131"/>
      <c r="X21" s="131"/>
      <c r="Y21" s="131"/>
      <c r="Z21" s="131"/>
      <c r="AA21" s="130"/>
    </row>
    <row r="22" spans="1:27" ht="12.75">
      <c r="A22" s="179" t="s">
        <v>452</v>
      </c>
      <c r="B22" s="119">
        <v>0</v>
      </c>
      <c r="C22" s="119">
        <v>0</v>
      </c>
      <c r="D22" s="119">
        <v>0</v>
      </c>
      <c r="E22" s="119">
        <v>0</v>
      </c>
      <c r="F22" s="119">
        <v>0</v>
      </c>
      <c r="G22" s="119">
        <v>0</v>
      </c>
      <c r="H22" s="119">
        <v>0</v>
      </c>
      <c r="I22" s="180">
        <v>0</v>
      </c>
      <c r="J22" s="189">
        <v>0</v>
      </c>
      <c r="K22" s="119">
        <v>0</v>
      </c>
      <c r="L22" s="119">
        <v>0</v>
      </c>
      <c r="M22" s="119">
        <v>0</v>
      </c>
      <c r="N22" s="119">
        <v>0</v>
      </c>
      <c r="O22" s="119">
        <v>0</v>
      </c>
      <c r="P22" s="119"/>
      <c r="Q22" s="119">
        <v>0</v>
      </c>
      <c r="R22" s="180">
        <v>0</v>
      </c>
      <c r="S22" s="209">
        <v>0</v>
      </c>
      <c r="T22" s="212">
        <v>0</v>
      </c>
      <c r="U22" s="131"/>
      <c r="V22" s="131"/>
      <c r="W22" s="131"/>
      <c r="X22" s="131"/>
      <c r="Y22" s="131"/>
      <c r="Z22" s="131"/>
      <c r="AA22" s="130"/>
    </row>
    <row r="23" spans="1:27" ht="12.75">
      <c r="A23" s="177" t="s">
        <v>453</v>
      </c>
      <c r="B23" s="112">
        <v>0</v>
      </c>
      <c r="C23" s="112">
        <v>0</v>
      </c>
      <c r="D23" s="112">
        <v>0</v>
      </c>
      <c r="E23" s="112">
        <v>0</v>
      </c>
      <c r="F23" s="112">
        <v>0</v>
      </c>
      <c r="G23" s="112">
        <v>0</v>
      </c>
      <c r="H23" s="112">
        <v>0</v>
      </c>
      <c r="I23" s="178">
        <v>0</v>
      </c>
      <c r="J23" s="190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0</v>
      </c>
      <c r="P23" s="112"/>
      <c r="Q23" s="112">
        <v>0</v>
      </c>
      <c r="R23" s="178">
        <v>0</v>
      </c>
      <c r="S23" s="208">
        <v>0</v>
      </c>
      <c r="T23" s="211">
        <v>0</v>
      </c>
      <c r="U23" s="131"/>
      <c r="V23" s="131"/>
      <c r="W23" s="131"/>
      <c r="X23" s="131"/>
      <c r="Y23" s="131"/>
      <c r="Z23" s="131"/>
      <c r="AA23" s="130"/>
    </row>
    <row r="24" spans="1:27" ht="13.5" thickBot="1">
      <c r="A24" s="181" t="s">
        <v>454</v>
      </c>
      <c r="B24" s="182">
        <v>0</v>
      </c>
      <c r="C24" s="182">
        <v>0</v>
      </c>
      <c r="D24" s="182">
        <v>0</v>
      </c>
      <c r="E24" s="182">
        <v>0</v>
      </c>
      <c r="F24" s="182">
        <v>0</v>
      </c>
      <c r="G24" s="182">
        <v>0</v>
      </c>
      <c r="H24" s="182">
        <v>0</v>
      </c>
      <c r="I24" s="183">
        <v>0</v>
      </c>
      <c r="J24" s="191">
        <v>0</v>
      </c>
      <c r="K24" s="182">
        <v>0</v>
      </c>
      <c r="L24" s="182">
        <v>0</v>
      </c>
      <c r="M24" s="182">
        <v>0</v>
      </c>
      <c r="N24" s="182">
        <v>0</v>
      </c>
      <c r="O24" s="182">
        <v>0</v>
      </c>
      <c r="P24" s="182"/>
      <c r="Q24" s="182">
        <v>0</v>
      </c>
      <c r="R24" s="183">
        <v>0</v>
      </c>
      <c r="S24" s="210">
        <v>0</v>
      </c>
      <c r="T24" s="213">
        <v>0</v>
      </c>
      <c r="U24" s="131"/>
      <c r="V24" s="131"/>
      <c r="W24" s="131"/>
      <c r="X24" s="131"/>
      <c r="Y24" s="131"/>
      <c r="Z24" s="131"/>
      <c r="AA24" s="130"/>
    </row>
    <row r="26" spans="6:11" ht="12.75">
      <c r="F26" s="194"/>
      <c r="G26" s="194"/>
      <c r="H26" s="194"/>
      <c r="I26" s="194"/>
      <c r="J26" s="130"/>
      <c r="K26" s="130"/>
    </row>
    <row r="27" spans="6:11" ht="12.75">
      <c r="F27" s="194"/>
      <c r="G27" s="194"/>
      <c r="H27" s="194"/>
      <c r="I27" s="194"/>
      <c r="J27" s="130"/>
      <c r="K27" s="130"/>
    </row>
    <row r="28" spans="6:11" ht="12.75">
      <c r="F28" s="194"/>
      <c r="G28" s="195"/>
      <c r="H28" s="194"/>
      <c r="I28" s="194"/>
      <c r="J28" s="130"/>
      <c r="K28" s="130"/>
    </row>
    <row r="29" ht="12.75" customHeight="1"/>
    <row r="36" ht="12.75">
      <c r="J36" s="167"/>
    </row>
  </sheetData>
  <sheetProtection/>
  <mergeCells count="7">
    <mergeCell ref="S2:T2"/>
    <mergeCell ref="B4:I4"/>
    <mergeCell ref="A1:I1"/>
    <mergeCell ref="J1:R1"/>
    <mergeCell ref="B2:I2"/>
    <mergeCell ref="J2:K2"/>
    <mergeCell ref="Q2:R2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C238"/>
  <sheetViews>
    <sheetView zoomScalePageLayoutView="0" workbookViewId="0" topLeftCell="A1">
      <selection activeCell="R7" sqref="R7"/>
    </sheetView>
  </sheetViews>
  <sheetFormatPr defaultColWidth="9.140625" defaultRowHeight="12.75"/>
  <cols>
    <col min="1" max="1" width="14.421875" style="114" customWidth="1"/>
    <col min="2" max="4" width="9.140625" style="114" customWidth="1"/>
    <col min="5" max="5" width="13.00390625" style="114" customWidth="1"/>
    <col min="6" max="6" width="16.57421875" style="114" customWidth="1"/>
    <col min="7" max="7" width="6.7109375" style="114" customWidth="1"/>
    <col min="8" max="9" width="14.28125" style="114" customWidth="1"/>
    <col min="10" max="10" width="21.8515625" style="114" customWidth="1"/>
    <col min="11" max="12" width="14.7109375" style="112" customWidth="1"/>
    <col min="13" max="17" width="14.00390625" style="114" customWidth="1"/>
    <col min="18" max="18" width="9.00390625" style="114" customWidth="1"/>
    <col min="19" max="19" width="9.140625" style="277" customWidth="1"/>
    <col min="20" max="16384" width="9.140625" style="114" customWidth="1"/>
  </cols>
  <sheetData>
    <row r="1" spans="1:10" ht="26.25">
      <c r="A1" s="111" t="s">
        <v>229</v>
      </c>
      <c r="B1" s="112"/>
      <c r="C1" s="112"/>
      <c r="D1" s="112"/>
      <c r="E1" s="112"/>
      <c r="F1" s="112"/>
      <c r="G1" s="113"/>
      <c r="H1" s="113"/>
      <c r="I1" s="113" t="s">
        <v>172</v>
      </c>
      <c r="J1" s="112"/>
    </row>
    <row r="2" spans="1:19" ht="12.75">
      <c r="A2" s="113" t="s">
        <v>147</v>
      </c>
      <c r="B2" s="113" t="s">
        <v>148</v>
      </c>
      <c r="C2" s="113" t="s">
        <v>149</v>
      </c>
      <c r="D2" s="113" t="s">
        <v>150</v>
      </c>
      <c r="E2" s="113" t="s">
        <v>151</v>
      </c>
      <c r="F2" s="113" t="s">
        <v>279</v>
      </c>
      <c r="G2" s="113" t="s">
        <v>438</v>
      </c>
      <c r="H2" s="113" t="s">
        <v>282</v>
      </c>
      <c r="I2" s="113" t="s">
        <v>278</v>
      </c>
      <c r="J2" s="113" t="s">
        <v>152</v>
      </c>
      <c r="K2" s="112" t="s">
        <v>362</v>
      </c>
      <c r="L2" s="112" t="s">
        <v>363</v>
      </c>
      <c r="M2" s="113" t="s">
        <v>147</v>
      </c>
      <c r="N2" s="112" t="s">
        <v>582</v>
      </c>
      <c r="O2" s="112" t="s">
        <v>583</v>
      </c>
      <c r="P2" s="112" t="s">
        <v>584</v>
      </c>
      <c r="Q2" s="112" t="s">
        <v>585</v>
      </c>
      <c r="R2" s="112" t="s">
        <v>560</v>
      </c>
      <c r="S2" s="277" t="s">
        <v>684</v>
      </c>
    </row>
    <row r="3" spans="1:18" ht="12.75">
      <c r="A3" s="115"/>
      <c r="B3" s="115"/>
      <c r="C3" s="115"/>
      <c r="D3" s="115"/>
      <c r="E3" s="115"/>
      <c r="F3" s="115"/>
      <c r="G3" s="116"/>
      <c r="H3" s="116"/>
      <c r="I3" s="116"/>
      <c r="J3" s="117"/>
      <c r="K3" s="117"/>
      <c r="L3" s="117"/>
      <c r="M3" s="115"/>
      <c r="N3" s="117"/>
      <c r="O3" s="117"/>
      <c r="P3" s="117"/>
      <c r="Q3" s="117"/>
      <c r="R3" s="117"/>
    </row>
    <row r="4" spans="1:29" ht="12.75">
      <c r="A4" s="118" t="s">
        <v>724</v>
      </c>
      <c r="B4" s="119" t="str">
        <f>LEFT(K4,2)</f>
        <v>61</v>
      </c>
      <c r="C4" s="120" t="s">
        <v>725</v>
      </c>
      <c r="D4" s="119">
        <v>25</v>
      </c>
      <c r="E4" s="120">
        <v>12.5</v>
      </c>
      <c r="F4" s="121" t="s">
        <v>331</v>
      </c>
      <c r="G4" s="112"/>
      <c r="H4" s="112"/>
      <c r="I4" s="112"/>
      <c r="J4" s="114" t="s">
        <v>57</v>
      </c>
      <c r="K4" s="112">
        <v>615938</v>
      </c>
      <c r="L4" s="112">
        <v>251232</v>
      </c>
      <c r="M4" s="122" t="str">
        <f aca="true" t="shared" si="0" ref="M4:M17">A4</f>
        <v>HAAVI (EFHA)</v>
      </c>
      <c r="N4" s="266"/>
      <c r="O4" s="266"/>
      <c r="P4" s="266"/>
      <c r="Q4" s="266"/>
      <c r="R4" s="265"/>
      <c r="S4" s="278"/>
      <c r="T4" s="119"/>
      <c r="U4" s="120"/>
      <c r="V4" s="121"/>
      <c r="W4" s="112"/>
      <c r="X4" s="112"/>
      <c r="Y4" s="112"/>
      <c r="AA4" s="112"/>
      <c r="AB4" s="112"/>
      <c r="AC4" s="122"/>
    </row>
    <row r="5" spans="1:29" ht="12.75">
      <c r="A5" s="118" t="s">
        <v>715</v>
      </c>
      <c r="B5" s="119" t="str">
        <f aca="true" t="shared" si="1" ref="B5:B10">LEFT(K5,2)</f>
        <v>68</v>
      </c>
      <c r="C5" s="120" t="s">
        <v>716</v>
      </c>
      <c r="D5" s="119" t="str">
        <f aca="true" t="shared" si="2" ref="D5:D10">LEFT(L5,2)</f>
        <v>26</v>
      </c>
      <c r="E5" s="120" t="s">
        <v>717</v>
      </c>
      <c r="F5" s="112" t="s">
        <v>291</v>
      </c>
      <c r="G5" s="112"/>
      <c r="H5" s="112"/>
      <c r="I5" s="112"/>
      <c r="J5" s="114" t="s">
        <v>77</v>
      </c>
      <c r="K5" s="112">
        <v>683817</v>
      </c>
      <c r="L5" s="112">
        <v>265959</v>
      </c>
      <c r="M5" s="122" t="str">
        <f t="shared" si="0"/>
        <v>HAMPI (EFIV)</v>
      </c>
      <c r="N5" s="266"/>
      <c r="O5" s="266"/>
      <c r="P5" s="266"/>
      <c r="Q5" s="266"/>
      <c r="R5" s="265"/>
      <c r="S5" s="278"/>
      <c r="T5" s="119"/>
      <c r="U5" s="120"/>
      <c r="V5" s="112"/>
      <c r="W5" s="112"/>
      <c r="X5" s="112"/>
      <c r="Y5" s="112"/>
      <c r="AA5" s="112"/>
      <c r="AB5" s="112"/>
      <c r="AC5" s="122"/>
    </row>
    <row r="6" spans="1:29" ht="12.75">
      <c r="A6" s="118" t="s">
        <v>264</v>
      </c>
      <c r="B6" s="119" t="str">
        <f t="shared" si="1"/>
        <v>60</v>
      </c>
      <c r="C6" s="120">
        <f>MID(K6,3,2)+(RIGHT(K6,2)/60)</f>
        <v>15.983333333333333</v>
      </c>
      <c r="D6" s="119" t="str">
        <f t="shared" si="2"/>
        <v>25</v>
      </c>
      <c r="E6" s="120">
        <f>MID(L6,3,2)+(RIGHT(L6,2)/60)</f>
        <v>12.55</v>
      </c>
      <c r="F6" s="121" t="s">
        <v>281</v>
      </c>
      <c r="G6" s="112"/>
      <c r="H6" s="112"/>
      <c r="I6" s="112"/>
      <c r="J6" s="114" t="s">
        <v>59</v>
      </c>
      <c r="K6" s="112">
        <v>601559</v>
      </c>
      <c r="L6" s="112">
        <v>251233</v>
      </c>
      <c r="M6" s="122" t="str">
        <f t="shared" si="0"/>
        <v>DEGER (EFHF)</v>
      </c>
      <c r="N6" s="266"/>
      <c r="O6" s="266"/>
      <c r="P6" s="266"/>
      <c r="Q6" s="266"/>
      <c r="R6" s="265"/>
      <c r="S6" s="278"/>
      <c r="T6" s="119"/>
      <c r="U6" s="120"/>
      <c r="V6" s="121"/>
      <c r="W6" s="112"/>
      <c r="X6" s="112"/>
      <c r="Y6" s="112"/>
      <c r="AA6" s="112"/>
      <c r="AB6" s="112"/>
      <c r="AC6" s="122"/>
    </row>
    <row r="7" spans="1:29" ht="12.75">
      <c r="A7" s="118" t="s">
        <v>46</v>
      </c>
      <c r="B7" s="119" t="str">
        <f t="shared" si="1"/>
        <v>67</v>
      </c>
      <c r="C7" s="120">
        <f>MID(K7,3,2)+(RIGHT(K7,2)/60)</f>
        <v>36.21666666666667</v>
      </c>
      <c r="D7" s="119" t="str">
        <f t="shared" si="2"/>
        <v>23</v>
      </c>
      <c r="E7" s="120">
        <f>MID(L7,3,2)+(RIGHT(L7,2)/60)</f>
        <v>58.3</v>
      </c>
      <c r="F7" s="121" t="s">
        <v>332</v>
      </c>
      <c r="G7" s="112"/>
      <c r="H7" s="112"/>
      <c r="I7" s="112"/>
      <c r="J7" s="114" t="s">
        <v>47</v>
      </c>
      <c r="K7" s="112">
        <v>673613</v>
      </c>
      <c r="L7" s="112">
        <v>235818</v>
      </c>
      <c r="M7" s="122" t="str">
        <f t="shared" si="0"/>
        <v>EFAA</v>
      </c>
      <c r="N7" s="266" t="s">
        <v>561</v>
      </c>
      <c r="O7" s="266"/>
      <c r="P7" s="266" t="s">
        <v>565</v>
      </c>
      <c r="R7" s="265">
        <v>225</v>
      </c>
      <c r="S7" s="278">
        <f>ROUND((R7*3.2808399),0)</f>
        <v>738</v>
      </c>
      <c r="T7" s="119"/>
      <c r="U7" s="120"/>
      <c r="V7" s="121"/>
      <c r="W7" s="112"/>
      <c r="X7" s="112"/>
      <c r="Y7" s="112"/>
      <c r="AA7" s="112"/>
      <c r="AB7" s="112"/>
      <c r="AC7" s="122"/>
    </row>
    <row r="8" spans="1:29" ht="12.75">
      <c r="A8" s="118" t="s">
        <v>48</v>
      </c>
      <c r="B8" s="119" t="str">
        <f t="shared" si="1"/>
        <v>64</v>
      </c>
      <c r="C8" s="120">
        <f>MID(K8,3,2)+(RIGHT(K8,2)/60)</f>
        <v>53.71666666666667</v>
      </c>
      <c r="D8" s="119" t="str">
        <f t="shared" si="2"/>
        <v>25</v>
      </c>
      <c r="E8" s="120">
        <f>MID(L8,3,2)+(RIGHT(L8,2)/60)</f>
        <v>45.13333333333333</v>
      </c>
      <c r="F8" s="121" t="s">
        <v>247</v>
      </c>
      <c r="G8" s="112"/>
      <c r="H8" s="112"/>
      <c r="I8" s="112"/>
      <c r="J8" s="114" t="s">
        <v>173</v>
      </c>
      <c r="K8" s="112">
        <v>645343</v>
      </c>
      <c r="L8" s="112">
        <v>254508</v>
      </c>
      <c r="M8" s="122" t="str">
        <f t="shared" si="0"/>
        <v>EFAH</v>
      </c>
      <c r="N8" s="266" t="s">
        <v>568</v>
      </c>
      <c r="O8" s="266"/>
      <c r="P8" s="266" t="s">
        <v>566</v>
      </c>
      <c r="R8" s="265">
        <v>29</v>
      </c>
      <c r="S8" s="278">
        <f aca="true" t="shared" si="3" ref="S8:S71">ROUND((R8*3.2808399),0)</f>
        <v>95</v>
      </c>
      <c r="T8" s="119"/>
      <c r="U8" s="120"/>
      <c r="V8" s="121"/>
      <c r="W8" s="112"/>
      <c r="X8" s="112"/>
      <c r="Y8" s="112"/>
      <c r="AA8" s="112"/>
      <c r="AB8" s="112"/>
      <c r="AC8" s="122"/>
    </row>
    <row r="9" spans="1:29" ht="12.75">
      <c r="A9" s="118" t="s">
        <v>49</v>
      </c>
      <c r="B9" s="119" t="str">
        <f t="shared" si="1"/>
        <v>62</v>
      </c>
      <c r="C9" s="120">
        <f>MID(K9,3,2)+(RIGHT(K9,2)/60)</f>
        <v>33.28333333333333</v>
      </c>
      <c r="D9" s="119" t="str">
        <f t="shared" si="2"/>
        <v>23</v>
      </c>
      <c r="E9" s="120">
        <f>MID(L9,3,2)+(RIGHT(L9,2)/60)</f>
        <v>34.4</v>
      </c>
      <c r="F9" s="121" t="s">
        <v>332</v>
      </c>
      <c r="G9" s="112"/>
      <c r="H9" s="112"/>
      <c r="I9" s="112"/>
      <c r="J9" s="114" t="s">
        <v>50</v>
      </c>
      <c r="K9" s="112">
        <v>623317</v>
      </c>
      <c r="L9" s="112">
        <v>233424</v>
      </c>
      <c r="M9" s="122" t="str">
        <f t="shared" si="0"/>
        <v>EFAL</v>
      </c>
      <c r="N9" s="266" t="s">
        <v>569</v>
      </c>
      <c r="O9" s="266"/>
      <c r="P9" s="266" t="s">
        <v>567</v>
      </c>
      <c r="R9" s="265">
        <v>124</v>
      </c>
      <c r="S9" s="278">
        <f t="shared" si="3"/>
        <v>407</v>
      </c>
      <c r="T9" s="119"/>
      <c r="U9" s="120"/>
      <c r="V9" s="121"/>
      <c r="W9" s="112"/>
      <c r="X9" s="112"/>
      <c r="Y9" s="112"/>
      <c r="AA9" s="112"/>
      <c r="AB9" s="112"/>
      <c r="AC9" s="122"/>
    </row>
    <row r="10" spans="1:29" ht="12.75">
      <c r="A10" s="118" t="s">
        <v>407</v>
      </c>
      <c r="B10" s="119" t="str">
        <f t="shared" si="1"/>
        <v>60</v>
      </c>
      <c r="C10" s="120">
        <f>MID(K10,3,2)+(RIGHT(K10,2)/60)</f>
        <v>13.25</v>
      </c>
      <c r="D10" s="119" t="str">
        <f t="shared" si="2"/>
        <v>24</v>
      </c>
      <c r="E10" s="120">
        <f>MID(L10,3,2)+(RIGHT(L10,2)/60)</f>
        <v>41.18333333333333</v>
      </c>
      <c r="J10" s="114" t="s">
        <v>405</v>
      </c>
      <c r="K10" s="112">
        <v>601315</v>
      </c>
      <c r="L10" s="112">
        <v>244111</v>
      </c>
      <c r="M10" s="122" t="str">
        <f>A10</f>
        <v>EFEJ (heli)</v>
      </c>
      <c r="N10" s="266"/>
      <c r="O10" s="266"/>
      <c r="P10" s="266"/>
      <c r="R10" s="265"/>
      <c r="S10" s="278">
        <f t="shared" si="3"/>
        <v>0</v>
      </c>
      <c r="T10" s="119"/>
      <c r="U10" s="120"/>
      <c r="AA10" s="112"/>
      <c r="AB10" s="112"/>
      <c r="AC10" s="122"/>
    </row>
    <row r="11" spans="1:29" ht="12.75">
      <c r="A11" s="118" t="s">
        <v>51</v>
      </c>
      <c r="B11" s="119" t="str">
        <f aca="true" t="shared" si="4" ref="B11:B74">LEFT(K11,2)</f>
        <v>68</v>
      </c>
      <c r="C11" s="120">
        <f aca="true" t="shared" si="5" ref="C11:C74">MID(K11,3,2)+(RIGHT(K11,2)/60)</f>
        <v>21.866666666666667</v>
      </c>
      <c r="D11" s="119" t="str">
        <f aca="true" t="shared" si="6" ref="D11:D74">LEFT(L11,2)</f>
        <v>23</v>
      </c>
      <c r="E11" s="120">
        <f aca="true" t="shared" si="7" ref="E11:E74">MID(L11,3,2)+(RIGHT(L11,2)/60)</f>
        <v>25.65</v>
      </c>
      <c r="F11" s="121" t="s">
        <v>277</v>
      </c>
      <c r="G11" s="112"/>
      <c r="H11" s="112"/>
      <c r="I11" s="112" t="s">
        <v>385</v>
      </c>
      <c r="J11" s="114" t="s">
        <v>368</v>
      </c>
      <c r="K11" s="112">
        <v>682152</v>
      </c>
      <c r="L11" s="112">
        <v>232539</v>
      </c>
      <c r="M11" s="122" t="str">
        <f t="shared" si="0"/>
        <v>EFET</v>
      </c>
      <c r="N11" s="266" t="s">
        <v>580</v>
      </c>
      <c r="O11" s="266"/>
      <c r="P11" s="266" t="s">
        <v>649</v>
      </c>
      <c r="R11" s="265">
        <v>304</v>
      </c>
      <c r="S11" s="278">
        <f t="shared" si="3"/>
        <v>997</v>
      </c>
      <c r="T11" s="119"/>
      <c r="U11" s="120"/>
      <c r="V11" s="121"/>
      <c r="W11" s="112"/>
      <c r="X11" s="112"/>
      <c r="Y11" s="112"/>
      <c r="AA11" s="112"/>
      <c r="AB11" s="112"/>
      <c r="AC11" s="122"/>
    </row>
    <row r="12" spans="1:29" ht="12.75">
      <c r="A12" s="118" t="s">
        <v>53</v>
      </c>
      <c r="B12" s="119" t="str">
        <f t="shared" si="4"/>
        <v>61</v>
      </c>
      <c r="C12" s="120">
        <f t="shared" si="5"/>
        <v>6.966666666666667</v>
      </c>
      <c r="D12" s="119" t="str">
        <f t="shared" si="6"/>
        <v>22</v>
      </c>
      <c r="E12" s="120">
        <f t="shared" si="7"/>
        <v>12.083333333333334</v>
      </c>
      <c r="F12" s="121" t="s">
        <v>333</v>
      </c>
      <c r="G12" s="112"/>
      <c r="H12" s="112"/>
      <c r="I12" s="112"/>
      <c r="J12" s="114" t="s">
        <v>54</v>
      </c>
      <c r="K12" s="112">
        <v>610658</v>
      </c>
      <c r="L12" s="112">
        <v>221205</v>
      </c>
      <c r="M12" s="122" t="str">
        <f t="shared" si="0"/>
        <v>EFEU</v>
      </c>
      <c r="N12" s="266" t="s">
        <v>570</v>
      </c>
      <c r="O12" s="266"/>
      <c r="P12" s="266" t="s">
        <v>571</v>
      </c>
      <c r="R12" s="265">
        <v>79</v>
      </c>
      <c r="S12" s="278">
        <f t="shared" si="3"/>
        <v>259</v>
      </c>
      <c r="T12" s="119"/>
      <c r="U12" s="120"/>
      <c r="V12" s="121"/>
      <c r="W12" s="112"/>
      <c r="X12" s="112"/>
      <c r="Y12" s="112"/>
      <c r="AA12" s="112"/>
      <c r="AB12" s="112"/>
      <c r="AC12" s="122"/>
    </row>
    <row r="13" spans="1:29" ht="12.75">
      <c r="A13" s="118" t="s">
        <v>3</v>
      </c>
      <c r="B13" s="119" t="str">
        <f t="shared" si="4"/>
        <v>60</v>
      </c>
      <c r="C13" s="120">
        <f t="shared" si="5"/>
        <v>48.11666666666667</v>
      </c>
      <c r="D13" s="119" t="str">
        <f t="shared" si="6"/>
        <v>23</v>
      </c>
      <c r="E13" s="120">
        <f t="shared" si="7"/>
        <v>38.733333333333334</v>
      </c>
      <c r="F13" s="121" t="s">
        <v>248</v>
      </c>
      <c r="G13" s="112"/>
      <c r="H13" s="112"/>
      <c r="I13" s="112"/>
      <c r="J13" s="114" t="s">
        <v>55</v>
      </c>
      <c r="K13" s="112">
        <v>604807</v>
      </c>
      <c r="L13" s="112">
        <v>233844</v>
      </c>
      <c r="M13" s="122" t="str">
        <f t="shared" si="0"/>
        <v>EFFO</v>
      </c>
      <c r="N13" s="266" t="s">
        <v>572</v>
      </c>
      <c r="O13" s="266"/>
      <c r="P13" s="266" t="s">
        <v>573</v>
      </c>
      <c r="R13" s="265">
        <v>99</v>
      </c>
      <c r="S13" s="278">
        <f t="shared" si="3"/>
        <v>325</v>
      </c>
      <c r="T13" s="119"/>
      <c r="U13" s="120"/>
      <c r="V13" s="121"/>
      <c r="W13" s="112"/>
      <c r="X13" s="112"/>
      <c r="Y13" s="112"/>
      <c r="AA13" s="112"/>
      <c r="AB13" s="112"/>
      <c r="AC13" s="122"/>
    </row>
    <row r="14" spans="1:29" ht="12.75">
      <c r="A14" s="118" t="s">
        <v>257</v>
      </c>
      <c r="B14" s="119" t="str">
        <f t="shared" si="4"/>
        <v>60</v>
      </c>
      <c r="C14" s="120">
        <f t="shared" si="5"/>
        <v>5.216666666666667</v>
      </c>
      <c r="D14" s="119" t="str">
        <f t="shared" si="6"/>
        <v>22</v>
      </c>
      <c r="E14" s="120">
        <f t="shared" si="7"/>
        <v>31.316666666666666</v>
      </c>
      <c r="F14" s="112" t="s">
        <v>334</v>
      </c>
      <c r="G14" s="112"/>
      <c r="H14" s="112"/>
      <c r="I14" s="112"/>
      <c r="J14" s="114" t="s">
        <v>258</v>
      </c>
      <c r="K14" s="112">
        <v>600513</v>
      </c>
      <c r="L14" s="112">
        <v>223119</v>
      </c>
      <c r="M14" s="122" t="str">
        <f t="shared" si="0"/>
        <v>EFGE</v>
      </c>
      <c r="N14" s="266" t="s">
        <v>574</v>
      </c>
      <c r="O14" s="266"/>
      <c r="P14" s="266" t="s">
        <v>575</v>
      </c>
      <c r="R14" s="265">
        <v>14</v>
      </c>
      <c r="S14" s="278">
        <f t="shared" si="3"/>
        <v>46</v>
      </c>
      <c r="T14" s="119"/>
      <c r="U14" s="120"/>
      <c r="V14" s="112"/>
      <c r="W14" s="112"/>
      <c r="X14" s="112"/>
      <c r="Y14" s="112"/>
      <c r="AA14" s="112"/>
      <c r="AB14" s="112"/>
      <c r="AC14" s="122"/>
    </row>
    <row r="15" spans="1:29" ht="12.75">
      <c r="A15" s="118" t="s">
        <v>56</v>
      </c>
      <c r="B15" s="119" t="str">
        <f t="shared" si="4"/>
        <v>61</v>
      </c>
      <c r="C15" s="120">
        <f t="shared" si="5"/>
        <v>51.38333333333333</v>
      </c>
      <c r="D15" s="119" t="str">
        <f t="shared" si="6"/>
        <v>24</v>
      </c>
      <c r="E15" s="120">
        <f t="shared" si="7"/>
        <v>47.35</v>
      </c>
      <c r="F15" s="121" t="s">
        <v>331</v>
      </c>
      <c r="G15" s="112"/>
      <c r="H15" s="112" t="s">
        <v>280</v>
      </c>
      <c r="I15" s="112" t="s">
        <v>822</v>
      </c>
      <c r="J15" s="114" t="s">
        <v>57</v>
      </c>
      <c r="K15" s="112">
        <v>615123</v>
      </c>
      <c r="L15" s="112">
        <v>244721</v>
      </c>
      <c r="M15" s="122" t="str">
        <f t="shared" si="0"/>
        <v>EFHA</v>
      </c>
      <c r="N15" s="268" t="s">
        <v>569</v>
      </c>
      <c r="P15" s="114" t="s">
        <v>650</v>
      </c>
      <c r="R15" s="112">
        <v>146</v>
      </c>
      <c r="S15" s="278">
        <f t="shared" si="3"/>
        <v>479</v>
      </c>
      <c r="T15" s="119"/>
      <c r="U15" s="120"/>
      <c r="V15" s="121"/>
      <c r="W15" s="112"/>
      <c r="X15" s="112"/>
      <c r="Y15" s="112"/>
      <c r="AA15" s="112"/>
      <c r="AB15" s="112"/>
      <c r="AC15" s="122"/>
    </row>
    <row r="16" spans="1:29" ht="12.75">
      <c r="A16" s="118" t="s">
        <v>406</v>
      </c>
      <c r="B16" s="119" t="str">
        <f t="shared" si="4"/>
        <v>60</v>
      </c>
      <c r="C16" s="120">
        <f t="shared" si="5"/>
        <v>8.866666666666667</v>
      </c>
      <c r="D16" s="119" t="str">
        <f t="shared" si="6"/>
        <v>24</v>
      </c>
      <c r="E16" s="120">
        <f t="shared" si="7"/>
        <v>55.45</v>
      </c>
      <c r="J16" s="114" t="s">
        <v>404</v>
      </c>
      <c r="K16" s="112">
        <v>600852</v>
      </c>
      <c r="L16" s="112">
        <v>245527</v>
      </c>
      <c r="M16" s="122" t="str">
        <f t="shared" si="0"/>
        <v>EFHE (heli)</v>
      </c>
      <c r="N16" s="266"/>
      <c r="O16" s="266"/>
      <c r="P16" s="266"/>
      <c r="Q16" s="266"/>
      <c r="R16" s="265"/>
      <c r="S16" s="278">
        <f t="shared" si="3"/>
        <v>0</v>
      </c>
      <c r="T16" s="119"/>
      <c r="U16" s="120"/>
      <c r="AA16" s="112"/>
      <c r="AB16" s="112"/>
      <c r="AC16" s="122"/>
    </row>
    <row r="17" spans="1:29" ht="12.75">
      <c r="A17" s="118" t="s">
        <v>58</v>
      </c>
      <c r="B17" s="119" t="str">
        <f t="shared" si="4"/>
        <v>60</v>
      </c>
      <c r="C17" s="120">
        <f t="shared" si="5"/>
        <v>15.233333333333333</v>
      </c>
      <c r="D17" s="119" t="str">
        <f t="shared" si="6"/>
        <v>25</v>
      </c>
      <c r="E17" s="120">
        <f t="shared" si="7"/>
        <v>2.65</v>
      </c>
      <c r="F17" s="121" t="s">
        <v>281</v>
      </c>
      <c r="G17" s="112"/>
      <c r="H17" s="112" t="s">
        <v>283</v>
      </c>
      <c r="I17" s="112" t="s">
        <v>284</v>
      </c>
      <c r="J17" s="114" t="s">
        <v>59</v>
      </c>
      <c r="K17" s="112">
        <v>601514</v>
      </c>
      <c r="L17" s="112">
        <v>250239</v>
      </c>
      <c r="M17" s="122" t="str">
        <f t="shared" si="0"/>
        <v>EFHF</v>
      </c>
      <c r="N17" s="266" t="s">
        <v>602</v>
      </c>
      <c r="O17" s="266" t="s">
        <v>592</v>
      </c>
      <c r="P17" s="266" t="s">
        <v>651</v>
      </c>
      <c r="Q17" s="266" t="s">
        <v>652</v>
      </c>
      <c r="R17" s="265">
        <v>17</v>
      </c>
      <c r="S17" s="278">
        <f t="shared" si="3"/>
        <v>56</v>
      </c>
      <c r="T17" s="119"/>
      <c r="U17" s="120"/>
      <c r="V17" s="121"/>
      <c r="W17" s="112"/>
      <c r="X17" s="112"/>
      <c r="Y17" s="112"/>
      <c r="AA17" s="112"/>
      <c r="AB17" s="112"/>
      <c r="AC17" s="122"/>
    </row>
    <row r="18" spans="1:29" ht="12.75">
      <c r="A18" s="118" t="s">
        <v>327</v>
      </c>
      <c r="B18" s="119" t="str">
        <f t="shared" si="4"/>
        <v>63</v>
      </c>
      <c r="C18" s="120">
        <f t="shared" si="5"/>
        <v>42.733333333333334</v>
      </c>
      <c r="D18" s="119" t="str">
        <f t="shared" si="6"/>
        <v>25</v>
      </c>
      <c r="E18" s="120">
        <f t="shared" si="7"/>
        <v>23.7</v>
      </c>
      <c r="F18" s="121" t="s">
        <v>248</v>
      </c>
      <c r="G18" s="112"/>
      <c r="H18" s="112"/>
      <c r="I18" s="112"/>
      <c r="J18" s="114" t="s">
        <v>359</v>
      </c>
      <c r="K18" s="112">
        <v>634244</v>
      </c>
      <c r="L18" s="112">
        <v>252342</v>
      </c>
      <c r="M18" s="122" t="str">
        <f aca="true" t="shared" si="8" ref="M18:M49">A18</f>
        <v>EFHJ</v>
      </c>
      <c r="N18" s="266" t="s">
        <v>576</v>
      </c>
      <c r="O18" s="266"/>
      <c r="P18" s="266" t="s">
        <v>596</v>
      </c>
      <c r="Q18" s="266"/>
      <c r="R18" s="265">
        <v>107</v>
      </c>
      <c r="S18" s="278">
        <f t="shared" si="3"/>
        <v>351</v>
      </c>
      <c r="T18" s="119"/>
      <c r="U18" s="120"/>
      <c r="V18" s="121"/>
      <c r="W18" s="112"/>
      <c r="X18" s="112"/>
      <c r="Y18" s="112"/>
      <c r="AA18" s="112"/>
      <c r="AB18" s="112"/>
      <c r="AC18" s="122"/>
    </row>
    <row r="19" spans="1:29" ht="12.75">
      <c r="A19" s="118" t="s">
        <v>60</v>
      </c>
      <c r="B19" s="119" t="str">
        <f t="shared" si="4"/>
        <v>60</v>
      </c>
      <c r="C19" s="120">
        <f t="shared" si="5"/>
        <v>19.033333333333335</v>
      </c>
      <c r="D19" s="119" t="str">
        <f t="shared" si="6"/>
        <v>24</v>
      </c>
      <c r="E19" s="120">
        <f t="shared" si="7"/>
        <v>57.8</v>
      </c>
      <c r="F19" s="121" t="s">
        <v>285</v>
      </c>
      <c r="G19" s="112"/>
      <c r="H19" s="112" t="s">
        <v>286</v>
      </c>
      <c r="I19" s="112" t="s">
        <v>287</v>
      </c>
      <c r="J19" s="114" t="s">
        <v>61</v>
      </c>
      <c r="K19" s="112">
        <v>601902</v>
      </c>
      <c r="L19" s="112">
        <v>245748</v>
      </c>
      <c r="M19" s="122" t="str">
        <f t="shared" si="8"/>
        <v>EFHK</v>
      </c>
      <c r="N19" s="266" t="s">
        <v>653</v>
      </c>
      <c r="O19" s="266" t="s">
        <v>595</v>
      </c>
      <c r="P19" s="266" t="s">
        <v>655</v>
      </c>
      <c r="Q19" s="266" t="s">
        <v>654</v>
      </c>
      <c r="R19" s="265">
        <v>55</v>
      </c>
      <c r="S19" s="278">
        <f t="shared" si="3"/>
        <v>180</v>
      </c>
      <c r="T19" s="119"/>
      <c r="U19" s="120"/>
      <c r="V19" s="121"/>
      <c r="W19" s="112"/>
      <c r="X19" s="112"/>
      <c r="Y19" s="112"/>
      <c r="AA19" s="112"/>
      <c r="AB19" s="112"/>
      <c r="AC19" s="122"/>
    </row>
    <row r="20" spans="1:29" ht="12.75">
      <c r="A20" s="118" t="s">
        <v>62</v>
      </c>
      <c r="B20" s="119" t="str">
        <f t="shared" si="4"/>
        <v>64</v>
      </c>
      <c r="C20" s="120">
        <f t="shared" si="5"/>
        <v>58.016666666666666</v>
      </c>
      <c r="D20" s="119" t="str">
        <f t="shared" si="6"/>
        <v>24</v>
      </c>
      <c r="E20" s="120">
        <f t="shared" si="7"/>
        <v>42.266666666666666</v>
      </c>
      <c r="F20" s="121" t="s">
        <v>247</v>
      </c>
      <c r="G20" s="112"/>
      <c r="H20" s="112"/>
      <c r="I20" s="112"/>
      <c r="J20" s="114" t="s">
        <v>63</v>
      </c>
      <c r="K20" s="112">
        <v>645801</v>
      </c>
      <c r="L20" s="112">
        <v>244216</v>
      </c>
      <c r="M20" s="122" t="str">
        <f t="shared" si="8"/>
        <v>EFHL</v>
      </c>
      <c r="N20" s="266" t="s">
        <v>578</v>
      </c>
      <c r="O20" s="266"/>
      <c r="P20" s="266" t="s">
        <v>579</v>
      </c>
      <c r="R20" s="265">
        <v>2</v>
      </c>
      <c r="S20" s="278">
        <f t="shared" si="3"/>
        <v>7</v>
      </c>
      <c r="T20" s="119"/>
      <c r="U20" s="120"/>
      <c r="V20" s="121"/>
      <c r="W20" s="112"/>
      <c r="X20" s="112"/>
      <c r="Y20" s="112"/>
      <c r="AA20" s="112"/>
      <c r="AB20" s="112"/>
      <c r="AC20" s="122"/>
    </row>
    <row r="21" spans="1:29" ht="12.75">
      <c r="A21" s="118" t="s">
        <v>64</v>
      </c>
      <c r="B21" s="119" t="str">
        <f t="shared" si="4"/>
        <v>61</v>
      </c>
      <c r="C21" s="120">
        <f t="shared" si="5"/>
        <v>41.416666666666664</v>
      </c>
      <c r="D21" s="119" t="str">
        <f t="shared" si="6"/>
        <v>23</v>
      </c>
      <c r="E21" s="120">
        <f t="shared" si="7"/>
        <v>4.45</v>
      </c>
      <c r="F21" s="121" t="s">
        <v>248</v>
      </c>
      <c r="G21" s="112"/>
      <c r="H21" s="112"/>
      <c r="I21" s="112"/>
      <c r="J21" s="114" t="s">
        <v>242</v>
      </c>
      <c r="K21" s="112">
        <v>614125</v>
      </c>
      <c r="L21" s="112">
        <v>230427</v>
      </c>
      <c r="M21" s="122" t="str">
        <f t="shared" si="8"/>
        <v>EFHM</v>
      </c>
      <c r="N21" s="266" t="s">
        <v>574</v>
      </c>
      <c r="O21" s="266"/>
      <c r="P21" s="266" t="s">
        <v>588</v>
      </c>
      <c r="Q21" s="266"/>
      <c r="R21" s="265">
        <v>137</v>
      </c>
      <c r="S21" s="278">
        <f t="shared" si="3"/>
        <v>449</v>
      </c>
      <c r="T21" s="119"/>
      <c r="U21" s="120"/>
      <c r="V21" s="121"/>
      <c r="W21" s="112"/>
      <c r="X21" s="112"/>
      <c r="Y21" s="112"/>
      <c r="AA21" s="112"/>
      <c r="AB21" s="112"/>
      <c r="AC21" s="122"/>
    </row>
    <row r="22" spans="1:29" ht="12.75">
      <c r="A22" s="118" t="s">
        <v>65</v>
      </c>
      <c r="B22" s="119" t="str">
        <f t="shared" si="4"/>
        <v>59</v>
      </c>
      <c r="C22" s="120">
        <f t="shared" si="5"/>
        <v>50.733333333333334</v>
      </c>
      <c r="D22" s="119" t="str">
        <f t="shared" si="6"/>
        <v>23</v>
      </c>
      <c r="E22" s="120">
        <f t="shared" si="7"/>
        <v>4.933333333333334</v>
      </c>
      <c r="F22" s="121" t="s">
        <v>334</v>
      </c>
      <c r="G22" s="112"/>
      <c r="H22" s="112"/>
      <c r="I22" s="112"/>
      <c r="J22" s="114" t="s">
        <v>66</v>
      </c>
      <c r="K22" s="112">
        <v>595044</v>
      </c>
      <c r="L22" s="112">
        <v>230456</v>
      </c>
      <c r="M22" s="122" t="str">
        <f t="shared" si="8"/>
        <v>EFHN</v>
      </c>
      <c r="N22" s="266" t="s">
        <v>580</v>
      </c>
      <c r="O22" s="266"/>
      <c r="P22" s="266" t="s">
        <v>581</v>
      </c>
      <c r="R22" s="265">
        <v>6</v>
      </c>
      <c r="S22" s="278">
        <f t="shared" si="3"/>
        <v>20</v>
      </c>
      <c r="T22" s="119"/>
      <c r="U22" s="120"/>
      <c r="V22" s="121"/>
      <c r="W22" s="112"/>
      <c r="X22" s="112"/>
      <c r="Y22" s="112"/>
      <c r="AA22" s="112"/>
      <c r="AB22" s="112"/>
      <c r="AC22" s="122"/>
    </row>
    <row r="23" spans="1:29" ht="12.75">
      <c r="A23" s="118" t="s">
        <v>67</v>
      </c>
      <c r="B23" s="119" t="str">
        <f t="shared" si="4"/>
        <v>64</v>
      </c>
      <c r="C23" s="120">
        <f t="shared" si="5"/>
        <v>6.783333333333333</v>
      </c>
      <c r="D23" s="119" t="str">
        <f t="shared" si="6"/>
        <v>25</v>
      </c>
      <c r="E23" s="120">
        <f t="shared" si="7"/>
        <v>30.25</v>
      </c>
      <c r="F23" s="121" t="s">
        <v>333</v>
      </c>
      <c r="G23" s="112"/>
      <c r="H23" s="112"/>
      <c r="I23" s="112"/>
      <c r="J23" s="114" t="s">
        <v>68</v>
      </c>
      <c r="K23" s="112">
        <v>640647</v>
      </c>
      <c r="L23" s="112">
        <v>253015</v>
      </c>
      <c r="M23" s="122" t="str">
        <f t="shared" si="8"/>
        <v>EFHP</v>
      </c>
      <c r="N23" s="266" t="s">
        <v>576</v>
      </c>
      <c r="O23" s="266"/>
      <c r="P23" s="266" t="s">
        <v>577</v>
      </c>
      <c r="R23" s="265">
        <v>107</v>
      </c>
      <c r="S23" s="278">
        <f t="shared" si="3"/>
        <v>351</v>
      </c>
      <c r="T23" s="119"/>
      <c r="U23" s="120"/>
      <c r="V23" s="121"/>
      <c r="W23" s="112"/>
      <c r="X23" s="112"/>
      <c r="Y23" s="112"/>
      <c r="AA23" s="112"/>
      <c r="AB23" s="112"/>
      <c r="AC23" s="122"/>
    </row>
    <row r="24" spans="1:29" ht="12.75">
      <c r="A24" s="124" t="s">
        <v>2</v>
      </c>
      <c r="B24" s="119" t="str">
        <f t="shared" si="4"/>
        <v>60</v>
      </c>
      <c r="C24" s="120">
        <f t="shared" si="5"/>
        <v>39.266666666666666</v>
      </c>
      <c r="D24" s="119" t="str">
        <f t="shared" si="6"/>
        <v>24</v>
      </c>
      <c r="E24" s="120">
        <f t="shared" si="7"/>
        <v>52.86666666666667</v>
      </c>
      <c r="F24" s="121" t="s">
        <v>335</v>
      </c>
      <c r="G24" s="112"/>
      <c r="H24" s="112"/>
      <c r="I24" s="112"/>
      <c r="J24" s="114" t="s">
        <v>275</v>
      </c>
      <c r="K24" s="112">
        <v>603916</v>
      </c>
      <c r="L24" s="112">
        <v>245252</v>
      </c>
      <c r="M24" s="122" t="str">
        <f t="shared" si="8"/>
        <v>EFHV</v>
      </c>
      <c r="N24" s="267" t="s">
        <v>572</v>
      </c>
      <c r="O24" s="267" t="s">
        <v>568</v>
      </c>
      <c r="P24" s="267" t="s">
        <v>587</v>
      </c>
      <c r="Q24" s="114" t="s">
        <v>586</v>
      </c>
      <c r="R24" s="265">
        <v>131</v>
      </c>
      <c r="S24" s="278">
        <f t="shared" si="3"/>
        <v>430</v>
      </c>
      <c r="T24" s="119"/>
      <c r="U24" s="120"/>
      <c r="V24" s="121"/>
      <c r="W24" s="112"/>
      <c r="X24" s="112"/>
      <c r="Y24" s="112"/>
      <c r="AA24" s="112"/>
      <c r="AB24" s="112"/>
      <c r="AC24" s="122"/>
    </row>
    <row r="25" spans="1:29" ht="12.75">
      <c r="A25" s="118" t="s">
        <v>69</v>
      </c>
      <c r="B25" s="119" t="str">
        <f t="shared" si="4"/>
        <v>63</v>
      </c>
      <c r="C25" s="120">
        <f t="shared" si="5"/>
        <v>37.916666666666664</v>
      </c>
      <c r="D25" s="119" t="str">
        <f t="shared" si="6"/>
        <v>27</v>
      </c>
      <c r="E25" s="120">
        <f t="shared" si="7"/>
        <v>7.333333333333333</v>
      </c>
      <c r="F25" s="121" t="s">
        <v>333</v>
      </c>
      <c r="G25" s="112"/>
      <c r="H25" s="112"/>
      <c r="I25" s="112"/>
      <c r="J25" s="114" t="s">
        <v>70</v>
      </c>
      <c r="K25" s="112">
        <v>633755</v>
      </c>
      <c r="L25" s="112">
        <v>270720</v>
      </c>
      <c r="M25" s="122" t="str">
        <f t="shared" si="8"/>
        <v>EFII</v>
      </c>
      <c r="N25" s="266" t="s">
        <v>589</v>
      </c>
      <c r="O25" s="266"/>
      <c r="P25" s="266" t="s">
        <v>590</v>
      </c>
      <c r="Q25" s="266"/>
      <c r="R25" s="265">
        <v>117</v>
      </c>
      <c r="S25" s="278">
        <f t="shared" si="3"/>
        <v>384</v>
      </c>
      <c r="T25" s="119"/>
      <c r="U25" s="120"/>
      <c r="V25" s="121"/>
      <c r="W25" s="112"/>
      <c r="X25" s="112"/>
      <c r="Y25" s="112"/>
      <c r="AA25" s="112"/>
      <c r="AB25" s="112"/>
      <c r="AC25" s="122"/>
    </row>
    <row r="26" spans="1:29" ht="12.75">
      <c r="A26" s="118" t="s">
        <v>5</v>
      </c>
      <c r="B26" s="119" t="str">
        <f t="shared" si="4"/>
        <v>60</v>
      </c>
      <c r="C26" s="120">
        <f t="shared" si="5"/>
        <v>27.766666666666666</v>
      </c>
      <c r="D26" s="119" t="str">
        <f t="shared" si="6"/>
        <v>23</v>
      </c>
      <c r="E26" s="120">
        <f t="shared" si="7"/>
        <v>39.06666666666667</v>
      </c>
      <c r="F26" s="121" t="s">
        <v>334</v>
      </c>
      <c r="G26" s="112"/>
      <c r="H26" s="112"/>
      <c r="I26" s="112"/>
      <c r="J26" s="114" t="s">
        <v>71</v>
      </c>
      <c r="K26" s="112">
        <v>602746</v>
      </c>
      <c r="L26" s="112">
        <v>233904</v>
      </c>
      <c r="M26" s="122" t="str">
        <f t="shared" si="8"/>
        <v>EFIK</v>
      </c>
      <c r="N26" s="266" t="s">
        <v>602</v>
      </c>
      <c r="O26" s="266" t="s">
        <v>603</v>
      </c>
      <c r="P26" s="266" t="s">
        <v>604</v>
      </c>
      <c r="Q26" s="266" t="s">
        <v>605</v>
      </c>
      <c r="R26" s="265">
        <v>116</v>
      </c>
      <c r="S26" s="278">
        <f t="shared" si="3"/>
        <v>381</v>
      </c>
      <c r="T26" s="119"/>
      <c r="U26" s="120"/>
      <c r="V26" s="121"/>
      <c r="W26" s="112"/>
      <c r="X26" s="112"/>
      <c r="Y26" s="112"/>
      <c r="AA26" s="112"/>
      <c r="AB26" s="112"/>
      <c r="AC26" s="122"/>
    </row>
    <row r="27" spans="1:29" ht="12.75">
      <c r="A27" s="118" t="s">
        <v>72</v>
      </c>
      <c r="B27" s="119" t="str">
        <f t="shared" si="4"/>
        <v>61</v>
      </c>
      <c r="C27" s="120">
        <f t="shared" si="5"/>
        <v>14.983333333333333</v>
      </c>
      <c r="D27" s="119" t="str">
        <f t="shared" si="6"/>
        <v>28</v>
      </c>
      <c r="E27" s="120">
        <f t="shared" si="7"/>
        <v>54.21666666666667</v>
      </c>
      <c r="F27" s="121" t="s">
        <v>334</v>
      </c>
      <c r="G27" s="112"/>
      <c r="H27" s="112"/>
      <c r="I27" s="112"/>
      <c r="J27" s="114" t="s">
        <v>73</v>
      </c>
      <c r="K27" s="112">
        <v>611459</v>
      </c>
      <c r="L27" s="112">
        <v>285413</v>
      </c>
      <c r="M27" s="122" t="str">
        <f t="shared" si="8"/>
        <v>EFIM</v>
      </c>
      <c r="N27" s="266" t="s">
        <v>591</v>
      </c>
      <c r="O27" s="266" t="s">
        <v>592</v>
      </c>
      <c r="P27" s="266" t="s">
        <v>593</v>
      </c>
      <c r="Q27" s="266" t="s">
        <v>594</v>
      </c>
      <c r="R27" s="265">
        <v>103</v>
      </c>
      <c r="S27" s="278">
        <f t="shared" si="3"/>
        <v>338</v>
      </c>
      <c r="T27" s="119"/>
      <c r="U27" s="120"/>
      <c r="V27" s="121"/>
      <c r="W27" s="112"/>
      <c r="X27" s="112"/>
      <c r="Y27" s="112"/>
      <c r="AA27" s="112"/>
      <c r="AB27" s="112"/>
      <c r="AC27" s="122"/>
    </row>
    <row r="28" spans="1:29" ht="12.75">
      <c r="A28" s="118" t="s">
        <v>74</v>
      </c>
      <c r="B28" s="119" t="str">
        <f t="shared" si="4"/>
        <v>62</v>
      </c>
      <c r="C28" s="120">
        <f t="shared" si="5"/>
        <v>9.966666666666667</v>
      </c>
      <c r="D28" s="119" t="str">
        <f t="shared" si="6"/>
        <v>30</v>
      </c>
      <c r="E28" s="120">
        <f t="shared" si="7"/>
        <v>4.416666666666667</v>
      </c>
      <c r="F28" s="121" t="s">
        <v>329</v>
      </c>
      <c r="G28" s="112"/>
      <c r="H28" s="112"/>
      <c r="I28" s="112"/>
      <c r="J28" s="114" t="s">
        <v>75</v>
      </c>
      <c r="K28" s="112">
        <v>620958</v>
      </c>
      <c r="L28" s="112">
        <v>300425</v>
      </c>
      <c r="M28" s="122" t="str">
        <f t="shared" si="8"/>
        <v>EFIT</v>
      </c>
      <c r="N28" s="266" t="s">
        <v>591</v>
      </c>
      <c r="O28" s="266"/>
      <c r="P28" s="266" t="s">
        <v>606</v>
      </c>
      <c r="Q28" s="266"/>
      <c r="R28" s="265">
        <v>111</v>
      </c>
      <c r="S28" s="278">
        <f t="shared" si="3"/>
        <v>364</v>
      </c>
      <c r="T28" s="119"/>
      <c r="U28" s="120"/>
      <c r="V28" s="121"/>
      <c r="W28" s="112"/>
      <c r="X28" s="112"/>
      <c r="Y28" s="112"/>
      <c r="AA28" s="112"/>
      <c r="AB28" s="112"/>
      <c r="AC28" s="122"/>
    </row>
    <row r="29" spans="1:29" ht="12.75">
      <c r="A29" s="118" t="s">
        <v>76</v>
      </c>
      <c r="B29" s="119" t="str">
        <f t="shared" si="4"/>
        <v>68</v>
      </c>
      <c r="C29" s="120">
        <f t="shared" si="5"/>
        <v>36.65</v>
      </c>
      <c r="D29" s="119" t="str">
        <f t="shared" si="6"/>
        <v>27</v>
      </c>
      <c r="E29" s="120">
        <f t="shared" si="7"/>
        <v>24.833333333333332</v>
      </c>
      <c r="F29" s="121" t="s">
        <v>288</v>
      </c>
      <c r="G29" s="112"/>
      <c r="H29" s="112"/>
      <c r="I29" s="112" t="s">
        <v>289</v>
      </c>
      <c r="J29" s="114" t="s">
        <v>77</v>
      </c>
      <c r="K29" s="112">
        <v>683639</v>
      </c>
      <c r="L29" s="112">
        <v>272450</v>
      </c>
      <c r="M29" s="122" t="str">
        <f t="shared" si="8"/>
        <v>EFIV</v>
      </c>
      <c r="N29" s="266" t="s">
        <v>572</v>
      </c>
      <c r="O29" s="266"/>
      <c r="P29" s="266" t="s">
        <v>656</v>
      </c>
      <c r="Q29" s="266"/>
      <c r="R29" s="265">
        <v>147</v>
      </c>
      <c r="S29" s="278">
        <f t="shared" si="3"/>
        <v>482</v>
      </c>
      <c r="T29" s="119"/>
      <c r="U29" s="120"/>
      <c r="V29" s="121"/>
      <c r="W29" s="112"/>
      <c r="X29" s="112"/>
      <c r="Y29" s="112"/>
      <c r="AA29" s="112"/>
      <c r="AB29" s="112"/>
      <c r="AC29" s="122"/>
    </row>
    <row r="30" spans="1:29" ht="12.75">
      <c r="A30" s="118" t="s">
        <v>78</v>
      </c>
      <c r="B30" s="119" t="str">
        <f t="shared" si="4"/>
        <v>61</v>
      </c>
      <c r="C30" s="120">
        <f t="shared" si="5"/>
        <v>46.71666666666667</v>
      </c>
      <c r="D30" s="119" t="str">
        <f t="shared" si="6"/>
        <v>22</v>
      </c>
      <c r="E30" s="120">
        <f t="shared" si="7"/>
        <v>42.96666666666667</v>
      </c>
      <c r="F30" s="121" t="s">
        <v>336</v>
      </c>
      <c r="G30" s="112"/>
      <c r="H30" s="112"/>
      <c r="I30" s="112"/>
      <c r="J30" s="114" t="s">
        <v>243</v>
      </c>
      <c r="K30" s="112">
        <v>614643</v>
      </c>
      <c r="L30" s="112">
        <v>224258</v>
      </c>
      <c r="M30" s="122" t="str">
        <f t="shared" si="8"/>
        <v>EFJM</v>
      </c>
      <c r="N30" s="266" t="s">
        <v>592</v>
      </c>
      <c r="O30" s="266" t="s">
        <v>595</v>
      </c>
      <c r="P30" s="266" t="s">
        <v>596</v>
      </c>
      <c r="Q30" s="266" t="s">
        <v>597</v>
      </c>
      <c r="R30" s="265">
        <v>154</v>
      </c>
      <c r="S30" s="278">
        <f t="shared" si="3"/>
        <v>505</v>
      </c>
      <c r="T30" s="119"/>
      <c r="U30" s="120"/>
      <c r="V30" s="121"/>
      <c r="W30" s="112"/>
      <c r="X30" s="112"/>
      <c r="Y30" s="112"/>
      <c r="AA30" s="112"/>
      <c r="AB30" s="112"/>
      <c r="AC30" s="122"/>
    </row>
    <row r="31" spans="1:29" ht="12.75">
      <c r="A31" s="118" t="s">
        <v>79</v>
      </c>
      <c r="B31" s="119" t="str">
        <f t="shared" si="4"/>
        <v>62</v>
      </c>
      <c r="C31" s="120">
        <f t="shared" si="5"/>
        <v>39.53333333333333</v>
      </c>
      <c r="D31" s="119" t="str">
        <f t="shared" si="6"/>
        <v>29</v>
      </c>
      <c r="E31" s="120">
        <f t="shared" si="7"/>
        <v>37.46666666666667</v>
      </c>
      <c r="F31" s="121" t="s">
        <v>290</v>
      </c>
      <c r="G31" s="112"/>
      <c r="H31" s="112"/>
      <c r="I31" s="112" t="s">
        <v>823</v>
      </c>
      <c r="J31" s="114" t="s">
        <v>80</v>
      </c>
      <c r="K31" s="112">
        <v>623932</v>
      </c>
      <c r="L31" s="112">
        <v>293728</v>
      </c>
      <c r="M31" s="122" t="str">
        <f t="shared" si="8"/>
        <v>EFJO</v>
      </c>
      <c r="N31" s="266" t="s">
        <v>603</v>
      </c>
      <c r="O31" s="266"/>
      <c r="P31" s="266" t="s">
        <v>657</v>
      </c>
      <c r="Q31" s="266"/>
      <c r="R31" s="265">
        <v>121</v>
      </c>
      <c r="S31" s="278">
        <f t="shared" si="3"/>
        <v>397</v>
      </c>
      <c r="T31" s="119"/>
      <c r="U31" s="120"/>
      <c r="V31" s="121"/>
      <c r="W31" s="112"/>
      <c r="X31" s="112"/>
      <c r="Y31" s="112"/>
      <c r="AA31" s="112"/>
      <c r="AB31" s="112"/>
      <c r="AC31" s="122"/>
    </row>
    <row r="32" spans="1:29" ht="12.75">
      <c r="A32" s="118" t="s">
        <v>81</v>
      </c>
      <c r="B32" s="119" t="str">
        <f t="shared" si="4"/>
        <v>68</v>
      </c>
      <c r="C32" s="120">
        <f t="shared" si="5"/>
        <v>42.68333333333333</v>
      </c>
      <c r="D32" s="119" t="str">
        <f t="shared" si="6"/>
        <v>25</v>
      </c>
      <c r="E32" s="120">
        <f t="shared" si="7"/>
        <v>45.166666666666664</v>
      </c>
      <c r="F32" s="121" t="s">
        <v>332</v>
      </c>
      <c r="G32" s="112"/>
      <c r="H32" s="112"/>
      <c r="I32" s="112"/>
      <c r="J32" s="114" t="s">
        <v>244</v>
      </c>
      <c r="K32" s="112">
        <v>684241</v>
      </c>
      <c r="L32" s="112">
        <v>254510</v>
      </c>
      <c r="M32" s="122" t="str">
        <f t="shared" si="8"/>
        <v>EFJP</v>
      </c>
      <c r="N32" s="266" t="s">
        <v>568</v>
      </c>
      <c r="O32" s="266" t="s">
        <v>589</v>
      </c>
      <c r="P32" s="266" t="s">
        <v>644</v>
      </c>
      <c r="Q32" s="266" t="s">
        <v>645</v>
      </c>
      <c r="R32" s="265">
        <v>480</v>
      </c>
      <c r="S32" s="278">
        <f t="shared" si="3"/>
        <v>1575</v>
      </c>
      <c r="T32" s="119"/>
      <c r="U32" s="120"/>
      <c r="V32" s="121"/>
      <c r="W32" s="112"/>
      <c r="X32" s="112"/>
      <c r="Y32" s="112"/>
      <c r="AA32" s="112"/>
      <c r="AB32" s="112"/>
      <c r="AC32" s="122"/>
    </row>
    <row r="33" spans="1:29" ht="12.75">
      <c r="A33" s="118" t="s">
        <v>82</v>
      </c>
      <c r="B33" s="119" t="str">
        <f t="shared" si="4"/>
        <v>62</v>
      </c>
      <c r="C33" s="120">
        <f t="shared" si="5"/>
        <v>24.05</v>
      </c>
      <c r="D33" s="119" t="str">
        <f t="shared" si="6"/>
        <v>25</v>
      </c>
      <c r="E33" s="120">
        <f t="shared" si="7"/>
        <v>40.36666666666667</v>
      </c>
      <c r="F33" s="121" t="s">
        <v>291</v>
      </c>
      <c r="G33" s="112"/>
      <c r="H33" s="112" t="s">
        <v>292</v>
      </c>
      <c r="I33" s="112" t="s">
        <v>293</v>
      </c>
      <c r="J33" s="114" t="s">
        <v>245</v>
      </c>
      <c r="K33" s="112">
        <v>622403</v>
      </c>
      <c r="L33" s="112">
        <v>254022</v>
      </c>
      <c r="M33" s="122" t="str">
        <f t="shared" si="8"/>
        <v>EFJY</v>
      </c>
      <c r="N33" s="266" t="s">
        <v>568</v>
      </c>
      <c r="O33" s="266"/>
      <c r="P33" s="266" t="s">
        <v>650</v>
      </c>
      <c r="Q33" s="266"/>
      <c r="R33" s="265">
        <v>140</v>
      </c>
      <c r="S33" s="278">
        <f t="shared" si="3"/>
        <v>459</v>
      </c>
      <c r="T33" s="119"/>
      <c r="U33" s="120"/>
      <c r="V33" s="121"/>
      <c r="W33" s="112"/>
      <c r="X33" s="112"/>
      <c r="Y33" s="112"/>
      <c r="AA33" s="112"/>
      <c r="AB33" s="112"/>
      <c r="AC33" s="122"/>
    </row>
    <row r="34" spans="1:29" ht="12.75">
      <c r="A34" s="118" t="s">
        <v>83</v>
      </c>
      <c r="B34" s="119" t="str">
        <f t="shared" si="4"/>
        <v>63</v>
      </c>
      <c r="C34" s="120">
        <f t="shared" si="5"/>
        <v>7.45</v>
      </c>
      <c r="D34" s="119" t="str">
        <f t="shared" si="6"/>
        <v>23</v>
      </c>
      <c r="E34" s="120">
        <f t="shared" si="7"/>
        <v>3.0833333333333335</v>
      </c>
      <c r="F34" s="123" t="s">
        <v>295</v>
      </c>
      <c r="G34" s="112"/>
      <c r="H34" s="112" t="s">
        <v>296</v>
      </c>
      <c r="I34" s="112" t="s">
        <v>297</v>
      </c>
      <c r="J34" s="114" t="s">
        <v>84</v>
      </c>
      <c r="K34" s="112">
        <v>630727</v>
      </c>
      <c r="L34" s="112">
        <v>230305</v>
      </c>
      <c r="M34" s="122" t="str">
        <f t="shared" si="8"/>
        <v>EFKA</v>
      </c>
      <c r="N34" s="266" t="s">
        <v>589</v>
      </c>
      <c r="O34" s="266"/>
      <c r="P34" s="266" t="s">
        <v>658</v>
      </c>
      <c r="Q34" s="266"/>
      <c r="R34" s="265">
        <v>46</v>
      </c>
      <c r="S34" s="278">
        <f t="shared" si="3"/>
        <v>151</v>
      </c>
      <c r="T34" s="119"/>
      <c r="U34" s="120"/>
      <c r="V34" s="123"/>
      <c r="W34" s="112"/>
      <c r="X34" s="112"/>
      <c r="Y34" s="112"/>
      <c r="AA34" s="112"/>
      <c r="AB34" s="112"/>
      <c r="AC34" s="122"/>
    </row>
    <row r="35" spans="1:29" ht="12.75">
      <c r="A35" s="118" t="s">
        <v>85</v>
      </c>
      <c r="B35" s="119" t="str">
        <f t="shared" si="4"/>
        <v>65</v>
      </c>
      <c r="C35" s="120">
        <f t="shared" si="5"/>
        <v>46.75</v>
      </c>
      <c r="D35" s="119" t="str">
        <f t="shared" si="6"/>
        <v>24</v>
      </c>
      <c r="E35" s="120">
        <f t="shared" si="7"/>
        <v>35.083333333333336</v>
      </c>
      <c r="F35" s="123" t="s">
        <v>298</v>
      </c>
      <c r="G35" s="112"/>
      <c r="H35" s="112"/>
      <c r="I35" s="112" t="s">
        <v>299</v>
      </c>
      <c r="J35" s="114" t="s">
        <v>86</v>
      </c>
      <c r="K35" s="112">
        <v>654645</v>
      </c>
      <c r="L35" s="112">
        <v>243505</v>
      </c>
      <c r="M35" s="122" t="str">
        <f t="shared" si="8"/>
        <v>EFKE</v>
      </c>
      <c r="N35" s="266" t="s">
        <v>602</v>
      </c>
      <c r="O35" s="266"/>
      <c r="P35" s="266" t="s">
        <v>659</v>
      </c>
      <c r="Q35" s="266"/>
      <c r="R35" s="265">
        <v>18</v>
      </c>
      <c r="S35" s="278">
        <f t="shared" si="3"/>
        <v>59</v>
      </c>
      <c r="T35" s="119"/>
      <c r="U35" s="120"/>
      <c r="V35" s="123"/>
      <c r="W35" s="112"/>
      <c r="X35" s="112"/>
      <c r="Y35" s="112"/>
      <c r="AA35" s="112"/>
      <c r="AB35" s="112"/>
      <c r="AC35" s="122"/>
    </row>
    <row r="36" spans="1:29" ht="12.75">
      <c r="A36" s="118" t="s">
        <v>87</v>
      </c>
      <c r="B36" s="119" t="str">
        <f t="shared" si="4"/>
        <v>60</v>
      </c>
      <c r="C36" s="120">
        <f t="shared" si="5"/>
        <v>14.816666666666666</v>
      </c>
      <c r="D36" s="119" t="str">
        <f t="shared" si="6"/>
        <v>20</v>
      </c>
      <c r="E36" s="120">
        <f t="shared" si="7"/>
        <v>48.28333333333333</v>
      </c>
      <c r="F36" s="123" t="s">
        <v>247</v>
      </c>
      <c r="G36" s="112"/>
      <c r="H36" s="112"/>
      <c r="I36" s="112"/>
      <c r="J36" s="114" t="s">
        <v>300</v>
      </c>
      <c r="K36" s="112">
        <v>601449</v>
      </c>
      <c r="L36" s="112">
        <v>204817</v>
      </c>
      <c r="M36" s="122" t="str">
        <f t="shared" si="8"/>
        <v>EFKG</v>
      </c>
      <c r="N36" s="266" t="s">
        <v>595</v>
      </c>
      <c r="O36" s="266"/>
      <c r="P36" s="266" t="s">
        <v>610</v>
      </c>
      <c r="Q36" s="266"/>
      <c r="R36" s="265">
        <v>2</v>
      </c>
      <c r="S36" s="278">
        <f t="shared" si="3"/>
        <v>7</v>
      </c>
      <c r="T36" s="119"/>
      <c r="U36" s="120"/>
      <c r="V36" s="123"/>
      <c r="W36" s="112"/>
      <c r="X36" s="112"/>
      <c r="Y36" s="112"/>
      <c r="AA36" s="112"/>
      <c r="AB36" s="112"/>
      <c r="AC36" s="122"/>
    </row>
    <row r="37" spans="1:29" ht="12.75">
      <c r="A37" s="118" t="s">
        <v>88</v>
      </c>
      <c r="B37" s="119" t="str">
        <f t="shared" si="4"/>
        <v>64</v>
      </c>
      <c r="C37" s="120">
        <f t="shared" si="5"/>
        <v>6.75</v>
      </c>
      <c r="D37" s="119" t="str">
        <f t="shared" si="6"/>
        <v>29</v>
      </c>
      <c r="E37" s="120">
        <f t="shared" si="7"/>
        <v>26.316666666666666</v>
      </c>
      <c r="F37" s="123" t="s">
        <v>332</v>
      </c>
      <c r="G37" s="112"/>
      <c r="H37" s="112"/>
      <c r="I37" s="112"/>
      <c r="J37" s="114" t="s">
        <v>89</v>
      </c>
      <c r="K37" s="112">
        <v>640645</v>
      </c>
      <c r="L37" s="112">
        <v>292619</v>
      </c>
      <c r="M37" s="122" t="str">
        <f t="shared" si="8"/>
        <v>EFKH</v>
      </c>
      <c r="N37" s="266" t="s">
        <v>568</v>
      </c>
      <c r="O37" s="266"/>
      <c r="P37" s="266" t="s">
        <v>609</v>
      </c>
      <c r="Q37" s="266"/>
      <c r="R37" s="265">
        <v>174</v>
      </c>
      <c r="S37" s="278">
        <f t="shared" si="3"/>
        <v>571</v>
      </c>
      <c r="T37" s="119"/>
      <c r="U37" s="120"/>
      <c r="V37" s="123"/>
      <c r="W37" s="112"/>
      <c r="X37" s="112"/>
      <c r="Y37" s="112"/>
      <c r="AA37" s="112"/>
      <c r="AB37" s="112"/>
      <c r="AC37" s="122"/>
    </row>
    <row r="38" spans="1:29" ht="12.75">
      <c r="A38" s="118" t="s">
        <v>90</v>
      </c>
      <c r="B38" s="119" t="str">
        <f t="shared" si="4"/>
        <v>64</v>
      </c>
      <c r="C38" s="120">
        <f t="shared" si="5"/>
        <v>17.05</v>
      </c>
      <c r="D38" s="119" t="str">
        <f t="shared" si="6"/>
        <v>27</v>
      </c>
      <c r="E38" s="120">
        <f t="shared" si="7"/>
        <v>41.25</v>
      </c>
      <c r="F38" s="123" t="s">
        <v>294</v>
      </c>
      <c r="G38" s="112"/>
      <c r="H38" s="112"/>
      <c r="I38" s="112" t="s">
        <v>824</v>
      </c>
      <c r="J38" s="114" t="s">
        <v>174</v>
      </c>
      <c r="K38" s="112">
        <v>641703</v>
      </c>
      <c r="L38" s="112">
        <v>274115</v>
      </c>
      <c r="M38" s="122" t="str">
        <f t="shared" si="8"/>
        <v>EFKI</v>
      </c>
      <c r="N38" s="266" t="s">
        <v>574</v>
      </c>
      <c r="O38" s="266"/>
      <c r="P38" s="266" t="s">
        <v>660</v>
      </c>
      <c r="Q38" s="266"/>
      <c r="R38" s="265">
        <v>147</v>
      </c>
      <c r="S38" s="278">
        <f t="shared" si="3"/>
        <v>482</v>
      </c>
      <c r="T38" s="119"/>
      <c r="U38" s="120"/>
      <c r="V38" s="123"/>
      <c r="W38" s="112"/>
      <c r="X38" s="112"/>
      <c r="Y38" s="112"/>
      <c r="AA38" s="112"/>
      <c r="AB38" s="112"/>
      <c r="AC38" s="122"/>
    </row>
    <row r="39" spans="1:29" ht="12.75">
      <c r="A39" s="118" t="s">
        <v>91</v>
      </c>
      <c r="B39" s="119" t="str">
        <f t="shared" si="4"/>
        <v>62</v>
      </c>
      <c r="C39" s="120">
        <f t="shared" si="5"/>
        <v>27.8</v>
      </c>
      <c r="D39" s="119" t="str">
        <f t="shared" si="6"/>
        <v>22</v>
      </c>
      <c r="E39" s="120">
        <f t="shared" si="7"/>
        <v>23.466666666666665</v>
      </c>
      <c r="F39" s="123" t="s">
        <v>337</v>
      </c>
      <c r="G39" s="112"/>
      <c r="H39" s="112"/>
      <c r="I39" s="112"/>
      <c r="J39" s="114" t="s">
        <v>92</v>
      </c>
      <c r="K39" s="112">
        <v>622748</v>
      </c>
      <c r="L39" s="112">
        <v>222328</v>
      </c>
      <c r="M39" s="122" t="str">
        <f t="shared" si="8"/>
        <v>EFKJ</v>
      </c>
      <c r="N39" s="266" t="s">
        <v>574</v>
      </c>
      <c r="O39" s="266"/>
      <c r="P39" s="266" t="s">
        <v>600</v>
      </c>
      <c r="Q39" s="266"/>
      <c r="R39" s="265">
        <v>124</v>
      </c>
      <c r="S39" s="278">
        <f t="shared" si="3"/>
        <v>407</v>
      </c>
      <c r="T39" s="119"/>
      <c r="U39" s="120"/>
      <c r="V39" s="123"/>
      <c r="W39" s="112"/>
      <c r="X39" s="112"/>
      <c r="Y39" s="112"/>
      <c r="AA39" s="112"/>
      <c r="AB39" s="112"/>
      <c r="AC39" s="122"/>
    </row>
    <row r="40" spans="1:29" ht="12.75">
      <c r="A40" s="118" t="s">
        <v>93</v>
      </c>
      <c r="B40" s="119" t="str">
        <f t="shared" si="4"/>
        <v>63</v>
      </c>
      <c r="C40" s="120">
        <f t="shared" si="5"/>
        <v>43.21666666666667</v>
      </c>
      <c r="D40" s="119" t="str">
        <f t="shared" si="6"/>
        <v>23</v>
      </c>
      <c r="E40" s="120">
        <f t="shared" si="7"/>
        <v>8.35</v>
      </c>
      <c r="F40" s="123" t="s">
        <v>302</v>
      </c>
      <c r="G40" s="112"/>
      <c r="H40" s="112"/>
      <c r="I40" s="112" t="s">
        <v>386</v>
      </c>
      <c r="J40" s="114" t="s">
        <v>143</v>
      </c>
      <c r="K40" s="112">
        <v>634313</v>
      </c>
      <c r="L40" s="112">
        <v>230821</v>
      </c>
      <c r="M40" s="122" t="str">
        <f t="shared" si="8"/>
        <v>EFKK</v>
      </c>
      <c r="N40" s="266" t="s">
        <v>591</v>
      </c>
      <c r="O40" s="266" t="s">
        <v>570</v>
      </c>
      <c r="P40" s="266" t="s">
        <v>661</v>
      </c>
      <c r="Q40" s="266" t="s">
        <v>662</v>
      </c>
      <c r="R40" s="265">
        <v>26</v>
      </c>
      <c r="S40" s="278">
        <f t="shared" si="3"/>
        <v>85</v>
      </c>
      <c r="T40" s="119"/>
      <c r="U40" s="120"/>
      <c r="V40" s="123"/>
      <c r="W40" s="112"/>
      <c r="X40" s="112"/>
      <c r="Y40" s="112"/>
      <c r="AA40" s="112"/>
      <c r="AB40" s="112"/>
      <c r="AC40" s="122"/>
    </row>
    <row r="41" spans="1:29" ht="12.75">
      <c r="A41" s="118" t="s">
        <v>94</v>
      </c>
      <c r="B41" s="119" t="str">
        <f t="shared" si="4"/>
        <v>66</v>
      </c>
      <c r="C41" s="120">
        <f t="shared" si="5"/>
        <v>42.95</v>
      </c>
      <c r="D41" s="119" t="str">
        <f t="shared" si="6"/>
        <v>27</v>
      </c>
      <c r="E41" s="120">
        <f t="shared" si="7"/>
        <v>9.433333333333334</v>
      </c>
      <c r="F41" s="123" t="s">
        <v>332</v>
      </c>
      <c r="G41" s="112"/>
      <c r="H41" s="112"/>
      <c r="I41" s="112"/>
      <c r="J41" s="114" t="s">
        <v>175</v>
      </c>
      <c r="K41" s="112">
        <v>664257</v>
      </c>
      <c r="L41" s="112">
        <v>270926</v>
      </c>
      <c r="M41" s="122" t="str">
        <f t="shared" si="8"/>
        <v>EFKM</v>
      </c>
      <c r="N41" s="266" t="s">
        <v>589</v>
      </c>
      <c r="O41" s="266"/>
      <c r="P41" s="266" t="s">
        <v>601</v>
      </c>
      <c r="Q41" s="266"/>
      <c r="R41" s="265">
        <v>211</v>
      </c>
      <c r="S41" s="278">
        <f t="shared" si="3"/>
        <v>692</v>
      </c>
      <c r="T41" s="119"/>
      <c r="U41" s="120"/>
      <c r="V41" s="123"/>
      <c r="W41" s="112"/>
      <c r="X41" s="112"/>
      <c r="Y41" s="112"/>
      <c r="AA41" s="112"/>
      <c r="AB41" s="112"/>
      <c r="AC41" s="122"/>
    </row>
    <row r="42" spans="1:29" ht="12.75">
      <c r="A42" s="118" t="s">
        <v>328</v>
      </c>
      <c r="B42" s="119" t="str">
        <f t="shared" si="4"/>
        <v>63</v>
      </c>
      <c r="C42" s="120">
        <f t="shared" si="5"/>
        <v>55.233333333333334</v>
      </c>
      <c r="D42" s="119" t="str">
        <f t="shared" si="6"/>
        <v>24</v>
      </c>
      <c r="E42" s="120">
        <f t="shared" si="7"/>
        <v>5.2</v>
      </c>
      <c r="F42" s="123" t="s">
        <v>329</v>
      </c>
      <c r="G42" s="112"/>
      <c r="H42" s="112"/>
      <c r="I42" s="112"/>
      <c r="J42" s="114" t="s">
        <v>369</v>
      </c>
      <c r="K42" s="112">
        <v>635514</v>
      </c>
      <c r="L42" s="112">
        <v>240512</v>
      </c>
      <c r="M42" s="122" t="str">
        <f t="shared" si="8"/>
        <v>EFKN</v>
      </c>
      <c r="N42" s="266" t="s">
        <v>570</v>
      </c>
      <c r="O42" s="266"/>
      <c r="P42" s="266" t="s">
        <v>599</v>
      </c>
      <c r="Q42" s="266"/>
      <c r="R42" s="265">
        <v>103</v>
      </c>
      <c r="S42" s="278">
        <f t="shared" si="3"/>
        <v>338</v>
      </c>
      <c r="T42" s="119"/>
      <c r="U42" s="120"/>
      <c r="V42" s="123"/>
      <c r="W42" s="112"/>
      <c r="X42" s="112"/>
      <c r="Y42" s="112"/>
      <c r="AA42" s="112"/>
      <c r="AB42" s="112"/>
      <c r="AC42" s="122"/>
    </row>
    <row r="43" spans="1:29" ht="12.75">
      <c r="A43" s="118" t="s">
        <v>95</v>
      </c>
      <c r="B43" s="119" t="str">
        <f t="shared" si="4"/>
        <v>64</v>
      </c>
      <c r="C43" s="120">
        <f t="shared" si="5"/>
        <v>13.716666666666667</v>
      </c>
      <c r="D43" s="119" t="str">
        <f t="shared" si="6"/>
        <v>23</v>
      </c>
      <c r="E43" s="120">
        <f t="shared" si="7"/>
        <v>49.583333333333336</v>
      </c>
      <c r="F43" s="123" t="s">
        <v>247</v>
      </c>
      <c r="G43" s="112"/>
      <c r="H43" s="112"/>
      <c r="I43" s="112"/>
      <c r="J43" s="114" t="s">
        <v>176</v>
      </c>
      <c r="K43" s="112">
        <v>641343</v>
      </c>
      <c r="L43" s="112">
        <v>234935</v>
      </c>
      <c r="M43" s="122" t="str">
        <f t="shared" si="8"/>
        <v>EFKO</v>
      </c>
      <c r="N43" s="266" t="s">
        <v>576</v>
      </c>
      <c r="O43" s="266"/>
      <c r="P43" s="266" t="s">
        <v>598</v>
      </c>
      <c r="Q43" s="266"/>
      <c r="R43" s="265">
        <v>13</v>
      </c>
      <c r="S43" s="278">
        <f t="shared" si="3"/>
        <v>43</v>
      </c>
      <c r="T43" s="119"/>
      <c r="U43" s="120"/>
      <c r="V43" s="123"/>
      <c r="W43" s="112"/>
      <c r="X43" s="112"/>
      <c r="Y43" s="112"/>
      <c r="AA43" s="112"/>
      <c r="AB43" s="112"/>
      <c r="AC43" s="122"/>
    </row>
    <row r="44" spans="1:29" ht="12.75">
      <c r="A44" s="118" t="s">
        <v>96</v>
      </c>
      <c r="B44" s="119" t="str">
        <f t="shared" si="4"/>
        <v>63</v>
      </c>
      <c r="C44" s="120">
        <f t="shared" si="5"/>
        <v>59.35</v>
      </c>
      <c r="D44" s="119" t="str">
        <f t="shared" si="6"/>
        <v>25</v>
      </c>
      <c r="E44" s="120">
        <f t="shared" si="7"/>
        <v>44.61666666666667</v>
      </c>
      <c r="F44" s="123" t="s">
        <v>333</v>
      </c>
      <c r="G44" s="112"/>
      <c r="H44" s="112"/>
      <c r="I44" s="112"/>
      <c r="J44" s="114" t="s">
        <v>177</v>
      </c>
      <c r="K44" s="112">
        <v>635921</v>
      </c>
      <c r="L44" s="112">
        <v>254437</v>
      </c>
      <c r="M44" s="122" t="str">
        <f t="shared" si="8"/>
        <v>EFKR</v>
      </c>
      <c r="N44" s="266" t="s">
        <v>592</v>
      </c>
      <c r="O44" s="266"/>
      <c r="P44" s="266" t="s">
        <v>612</v>
      </c>
      <c r="Q44" s="266"/>
      <c r="R44" s="265">
        <v>106</v>
      </c>
      <c r="S44" s="278">
        <f t="shared" si="3"/>
        <v>348</v>
      </c>
      <c r="T44" s="119"/>
      <c r="U44" s="120"/>
      <c r="V44" s="123"/>
      <c r="W44" s="112"/>
      <c r="X44" s="112"/>
      <c r="Y44" s="112"/>
      <c r="AA44" s="112"/>
      <c r="AB44" s="112"/>
      <c r="AC44" s="122"/>
    </row>
    <row r="45" spans="1:29" ht="12.75">
      <c r="A45" s="118" t="s">
        <v>97</v>
      </c>
      <c r="B45" s="119" t="str">
        <f t="shared" si="4"/>
        <v>65</v>
      </c>
      <c r="C45" s="120">
        <f t="shared" si="5"/>
        <v>59.416666666666664</v>
      </c>
      <c r="D45" s="119" t="str">
        <f t="shared" si="6"/>
        <v>29</v>
      </c>
      <c r="E45" s="120">
        <f t="shared" si="7"/>
        <v>13.916666666666666</v>
      </c>
      <c r="F45" s="123" t="s">
        <v>384</v>
      </c>
      <c r="G45" s="112"/>
      <c r="H45" s="112"/>
      <c r="I45" s="112" t="s">
        <v>825</v>
      </c>
      <c r="J45" s="114" t="s">
        <v>178</v>
      </c>
      <c r="K45" s="112">
        <v>655925</v>
      </c>
      <c r="L45" s="112">
        <v>291355</v>
      </c>
      <c r="M45" s="122" t="str">
        <f t="shared" si="8"/>
        <v>EFKS</v>
      </c>
      <c r="N45" s="266" t="s">
        <v>568</v>
      </c>
      <c r="O45" s="266"/>
      <c r="P45" s="266" t="s">
        <v>663</v>
      </c>
      <c r="Q45" s="266"/>
      <c r="R45" s="265">
        <v>264</v>
      </c>
      <c r="S45" s="278">
        <f t="shared" si="3"/>
        <v>866</v>
      </c>
      <c r="T45" s="119"/>
      <c r="U45" s="120"/>
      <c r="V45" s="123"/>
      <c r="W45" s="112"/>
      <c r="X45" s="112"/>
      <c r="Y45" s="112"/>
      <c r="AA45" s="112"/>
      <c r="AB45" s="112"/>
      <c r="AC45" s="122"/>
    </row>
    <row r="46" spans="1:29" ht="12.75">
      <c r="A46" s="118" t="s">
        <v>98</v>
      </c>
      <c r="B46" s="119" t="str">
        <f t="shared" si="4"/>
        <v>67</v>
      </c>
      <c r="C46" s="120">
        <f t="shared" si="5"/>
        <v>41.916666666666664</v>
      </c>
      <c r="D46" s="119" t="str">
        <f t="shared" si="6"/>
        <v>24</v>
      </c>
      <c r="E46" s="120">
        <f t="shared" si="7"/>
        <v>50.88333333333333</v>
      </c>
      <c r="F46" s="123" t="s">
        <v>387</v>
      </c>
      <c r="G46" s="112"/>
      <c r="H46" s="112"/>
      <c r="I46" s="112" t="s">
        <v>388</v>
      </c>
      <c r="J46" s="114" t="s">
        <v>179</v>
      </c>
      <c r="K46" s="112">
        <v>674155</v>
      </c>
      <c r="L46" s="112">
        <v>245053</v>
      </c>
      <c r="M46" s="122" t="str">
        <f t="shared" si="8"/>
        <v>EFKT</v>
      </c>
      <c r="N46" s="266" t="s">
        <v>611</v>
      </c>
      <c r="O46" s="266"/>
      <c r="P46" s="266" t="s">
        <v>663</v>
      </c>
      <c r="Q46" s="266"/>
      <c r="R46" s="265">
        <v>196</v>
      </c>
      <c r="S46" s="278">
        <f t="shared" si="3"/>
        <v>643</v>
      </c>
      <c r="T46" s="119"/>
      <c r="U46" s="120"/>
      <c r="V46" s="123"/>
      <c r="W46" s="112"/>
      <c r="X46" s="112"/>
      <c r="Y46" s="112"/>
      <c r="AA46" s="112"/>
      <c r="AB46" s="112"/>
      <c r="AC46" s="122"/>
    </row>
    <row r="47" spans="1:29" ht="12.75">
      <c r="A47" s="118" t="s">
        <v>99</v>
      </c>
      <c r="B47" s="119" t="str">
        <f t="shared" si="4"/>
        <v>63</v>
      </c>
      <c r="C47" s="120">
        <f t="shared" si="5"/>
        <v>0.5166666666666667</v>
      </c>
      <c r="D47" s="119" t="str">
        <f t="shared" si="6"/>
        <v>27</v>
      </c>
      <c r="E47" s="120">
        <f t="shared" si="7"/>
        <v>47.666666666666664</v>
      </c>
      <c r="F47" s="123" t="s">
        <v>303</v>
      </c>
      <c r="G47" s="112"/>
      <c r="H47" s="112" t="s">
        <v>304</v>
      </c>
      <c r="I47" s="112" t="s">
        <v>305</v>
      </c>
      <c r="J47" s="114" t="s">
        <v>180</v>
      </c>
      <c r="K47" s="112">
        <v>630031</v>
      </c>
      <c r="L47" s="112">
        <v>274740</v>
      </c>
      <c r="M47" s="122" t="str">
        <f t="shared" si="8"/>
        <v>EFKU</v>
      </c>
      <c r="N47" s="266" t="s">
        <v>595</v>
      </c>
      <c r="O47" s="266" t="s">
        <v>578</v>
      </c>
      <c r="P47" s="266" t="s">
        <v>664</v>
      </c>
      <c r="Q47" s="266" t="s">
        <v>665</v>
      </c>
      <c r="R47" s="265">
        <v>96</v>
      </c>
      <c r="S47" s="278">
        <f t="shared" si="3"/>
        <v>315</v>
      </c>
      <c r="T47" s="119"/>
      <c r="U47" s="120"/>
      <c r="V47" s="123"/>
      <c r="W47" s="112"/>
      <c r="X47" s="112"/>
      <c r="Y47" s="112"/>
      <c r="AA47" s="112"/>
      <c r="AB47" s="112"/>
      <c r="AC47" s="122"/>
    </row>
    <row r="48" spans="1:29" ht="12.75">
      <c r="A48" s="118" t="s">
        <v>100</v>
      </c>
      <c r="B48" s="119" t="str">
        <f t="shared" si="4"/>
        <v>63</v>
      </c>
      <c r="C48" s="120">
        <f t="shared" si="5"/>
        <v>7.516666666666667</v>
      </c>
      <c r="D48" s="119" t="str">
        <f t="shared" si="6"/>
        <v>25</v>
      </c>
      <c r="E48" s="120">
        <f t="shared" si="7"/>
        <v>7.45</v>
      </c>
      <c r="F48" s="123" t="s">
        <v>332</v>
      </c>
      <c r="G48" s="112"/>
      <c r="H48" s="112"/>
      <c r="I48" s="112"/>
      <c r="J48" s="114" t="s">
        <v>181</v>
      </c>
      <c r="K48" s="112">
        <v>630731</v>
      </c>
      <c r="L48" s="112">
        <v>250727</v>
      </c>
      <c r="M48" s="122" t="str">
        <f t="shared" si="8"/>
        <v>EFKV</v>
      </c>
      <c r="N48" s="266" t="s">
        <v>568</v>
      </c>
      <c r="O48" s="266"/>
      <c r="P48" s="266" t="s">
        <v>608</v>
      </c>
      <c r="Q48" s="266"/>
      <c r="R48" s="265">
        <v>153</v>
      </c>
      <c r="S48" s="278">
        <f t="shared" si="3"/>
        <v>502</v>
      </c>
      <c r="T48" s="119"/>
      <c r="U48" s="120"/>
      <c r="V48" s="123"/>
      <c r="W48" s="112"/>
      <c r="X48" s="112"/>
      <c r="Y48" s="112"/>
      <c r="AA48" s="112"/>
      <c r="AB48" s="112"/>
      <c r="AC48" s="122"/>
    </row>
    <row r="49" spans="1:29" ht="12.75">
      <c r="A49" s="118" t="s">
        <v>101</v>
      </c>
      <c r="B49" s="119" t="str">
        <f t="shared" si="4"/>
        <v>60</v>
      </c>
      <c r="C49" s="120">
        <f t="shared" si="5"/>
        <v>34.28333333333333</v>
      </c>
      <c r="D49" s="119" t="str">
        <f t="shared" si="6"/>
        <v>26</v>
      </c>
      <c r="E49" s="120">
        <f t="shared" si="7"/>
        <v>53.766666666666666</v>
      </c>
      <c r="F49" s="123" t="s">
        <v>333</v>
      </c>
      <c r="G49" s="112"/>
      <c r="H49" s="112"/>
      <c r="I49" s="112"/>
      <c r="J49" s="114" t="s">
        <v>182</v>
      </c>
      <c r="K49" s="112">
        <v>603417</v>
      </c>
      <c r="L49" s="112">
        <v>265346</v>
      </c>
      <c r="M49" s="122" t="str">
        <f t="shared" si="8"/>
        <v>EFKY</v>
      </c>
      <c r="N49" s="266" t="s">
        <v>611</v>
      </c>
      <c r="O49" s="266"/>
      <c r="P49" s="266" t="s">
        <v>609</v>
      </c>
      <c r="Q49" s="266"/>
      <c r="R49" s="265">
        <v>68</v>
      </c>
      <c r="S49" s="278">
        <f t="shared" si="3"/>
        <v>223</v>
      </c>
      <c r="T49" s="119"/>
      <c r="U49" s="120"/>
      <c r="V49" s="123"/>
      <c r="W49" s="112"/>
      <c r="X49" s="112"/>
      <c r="Y49" s="112"/>
      <c r="AA49" s="112"/>
      <c r="AB49" s="112"/>
      <c r="AC49" s="122"/>
    </row>
    <row r="50" spans="1:29" ht="12.75">
      <c r="A50" s="118" t="s">
        <v>102</v>
      </c>
      <c r="B50" s="119" t="str">
        <f t="shared" si="4"/>
        <v>61</v>
      </c>
      <c r="C50" s="120">
        <f t="shared" si="5"/>
        <v>8.65</v>
      </c>
      <c r="D50" s="119" t="str">
        <f t="shared" si="6"/>
        <v>25</v>
      </c>
      <c r="E50" s="120">
        <f t="shared" si="7"/>
        <v>41.583333333333336</v>
      </c>
      <c r="F50" s="123" t="s">
        <v>247</v>
      </c>
      <c r="G50" s="112"/>
      <c r="H50" s="112"/>
      <c r="I50" s="112" t="s">
        <v>371</v>
      </c>
      <c r="J50" s="125" t="s">
        <v>183</v>
      </c>
      <c r="K50" s="112">
        <v>610839</v>
      </c>
      <c r="L50" s="112">
        <v>254135</v>
      </c>
      <c r="M50" s="122" t="str">
        <f aca="true" t="shared" si="9" ref="M50:M69">A50</f>
        <v>EFLA</v>
      </c>
      <c r="N50" s="266" t="s">
        <v>574</v>
      </c>
      <c r="O50" s="266" t="s">
        <v>602</v>
      </c>
      <c r="P50" s="266" t="s">
        <v>598</v>
      </c>
      <c r="Q50" s="266" t="s">
        <v>613</v>
      </c>
      <c r="R50" s="265">
        <v>153</v>
      </c>
      <c r="S50" s="278">
        <f t="shared" si="3"/>
        <v>502</v>
      </c>
      <c r="T50" s="119"/>
      <c r="U50" s="120"/>
      <c r="V50" s="123"/>
      <c r="W50" s="112"/>
      <c r="X50" s="112"/>
      <c r="Y50" s="112"/>
      <c r="Z50" s="125"/>
      <c r="AA50" s="112"/>
      <c r="AB50" s="112"/>
      <c r="AC50" s="122"/>
    </row>
    <row r="51" spans="1:29" ht="12.75">
      <c r="A51" s="118" t="s">
        <v>103</v>
      </c>
      <c r="B51" s="119" t="str">
        <f t="shared" si="4"/>
        <v>63</v>
      </c>
      <c r="C51" s="120">
        <f t="shared" si="5"/>
        <v>23.966666666666665</v>
      </c>
      <c r="D51" s="119" t="str">
        <f t="shared" si="6"/>
        <v>27</v>
      </c>
      <c r="E51" s="120">
        <f t="shared" si="7"/>
        <v>28.733333333333334</v>
      </c>
      <c r="F51" s="123" t="s">
        <v>332</v>
      </c>
      <c r="G51" s="112"/>
      <c r="H51" s="112"/>
      <c r="I51" s="112"/>
      <c r="J51" s="114" t="s">
        <v>246</v>
      </c>
      <c r="K51" s="112">
        <v>632358</v>
      </c>
      <c r="L51" s="112">
        <v>272844</v>
      </c>
      <c r="M51" s="122" t="str">
        <f t="shared" si="9"/>
        <v>EFLL</v>
      </c>
      <c r="N51" s="266" t="s">
        <v>572</v>
      </c>
      <c r="O51" s="266"/>
      <c r="P51" s="266" t="s">
        <v>614</v>
      </c>
      <c r="Q51" s="266"/>
      <c r="R51" s="265">
        <v>100</v>
      </c>
      <c r="S51" s="278">
        <f t="shared" si="3"/>
        <v>328</v>
      </c>
      <c r="T51" s="119"/>
      <c r="U51" s="120"/>
      <c r="V51" s="123"/>
      <c r="W51" s="112"/>
      <c r="X51" s="112"/>
      <c r="Y51" s="112"/>
      <c r="AA51" s="112"/>
      <c r="AB51" s="112"/>
      <c r="AC51" s="122"/>
    </row>
    <row r="52" spans="1:29" ht="12.75">
      <c r="A52" s="118" t="s">
        <v>104</v>
      </c>
      <c r="B52" s="119" t="str">
        <f t="shared" si="4"/>
        <v>63</v>
      </c>
      <c r="C52" s="120">
        <f t="shared" si="5"/>
        <v>30.716666666666665</v>
      </c>
      <c r="D52" s="119" t="str">
        <f t="shared" si="6"/>
        <v>29</v>
      </c>
      <c r="E52" s="120">
        <f t="shared" si="7"/>
        <v>37.75</v>
      </c>
      <c r="F52" s="123" t="s">
        <v>247</v>
      </c>
      <c r="G52" s="112"/>
      <c r="H52" s="112"/>
      <c r="I52" s="112"/>
      <c r="J52" s="114" t="s">
        <v>184</v>
      </c>
      <c r="K52" s="112">
        <v>633043</v>
      </c>
      <c r="L52" s="112">
        <v>293745</v>
      </c>
      <c r="M52" s="122" t="str">
        <f t="shared" si="9"/>
        <v>EFLN</v>
      </c>
      <c r="N52" s="266" t="s">
        <v>570</v>
      </c>
      <c r="O52" s="266"/>
      <c r="P52" s="266" t="s">
        <v>615</v>
      </c>
      <c r="Q52" s="266"/>
      <c r="R52" s="265">
        <v>114</v>
      </c>
      <c r="S52" s="278">
        <f t="shared" si="3"/>
        <v>374</v>
      </c>
      <c r="T52" s="119"/>
      <c r="U52" s="120"/>
      <c r="V52" s="123"/>
      <c r="W52" s="112"/>
      <c r="X52" s="112"/>
      <c r="Y52" s="112"/>
      <c r="AA52" s="112"/>
      <c r="AB52" s="112"/>
      <c r="AC52" s="122"/>
    </row>
    <row r="53" spans="1:29" ht="12.75">
      <c r="A53" s="118" t="s">
        <v>105</v>
      </c>
      <c r="B53" s="119" t="str">
        <f t="shared" si="4"/>
        <v>61</v>
      </c>
      <c r="C53" s="120">
        <f t="shared" si="5"/>
        <v>2.75</v>
      </c>
      <c r="D53" s="119" t="str">
        <f t="shared" si="6"/>
        <v>28</v>
      </c>
      <c r="E53" s="120">
        <f t="shared" si="7"/>
        <v>8.916666666666666</v>
      </c>
      <c r="F53" s="123" t="s">
        <v>307</v>
      </c>
      <c r="G53" s="112"/>
      <c r="H53" s="112"/>
      <c r="I53" s="112" t="s">
        <v>830</v>
      </c>
      <c r="J53" s="114" t="s">
        <v>185</v>
      </c>
      <c r="K53" s="112">
        <v>610245</v>
      </c>
      <c r="L53" s="112">
        <v>280855</v>
      </c>
      <c r="M53" s="122" t="str">
        <f t="shared" si="9"/>
        <v>EFLP</v>
      </c>
      <c r="N53" s="266" t="s">
        <v>578</v>
      </c>
      <c r="O53" s="266"/>
      <c r="P53" s="266" t="s">
        <v>661</v>
      </c>
      <c r="Q53" s="266"/>
      <c r="R53" s="265">
        <v>106</v>
      </c>
      <c r="S53" s="278">
        <f t="shared" si="3"/>
        <v>348</v>
      </c>
      <c r="T53" s="119"/>
      <c r="U53" s="120"/>
      <c r="V53" s="123"/>
      <c r="W53" s="112"/>
      <c r="X53" s="112"/>
      <c r="Y53" s="112"/>
      <c r="AA53" s="112"/>
      <c r="AB53" s="112"/>
      <c r="AC53" s="122"/>
    </row>
    <row r="54" spans="1:29" ht="12.75">
      <c r="A54" s="118" t="s">
        <v>106</v>
      </c>
      <c r="B54" s="119" t="str">
        <f t="shared" si="4"/>
        <v>60</v>
      </c>
      <c r="C54" s="120">
        <f t="shared" si="5"/>
        <v>7.316666666666666</v>
      </c>
      <c r="D54" s="119" t="str">
        <f t="shared" si="6"/>
        <v>19</v>
      </c>
      <c r="E54" s="120">
        <f t="shared" si="7"/>
        <v>53.78333333333333</v>
      </c>
      <c r="F54" s="123" t="s">
        <v>308</v>
      </c>
      <c r="G54" s="112"/>
      <c r="H54" s="112"/>
      <c r="I54" s="112" t="s">
        <v>309</v>
      </c>
      <c r="J54" s="114" t="s">
        <v>224</v>
      </c>
      <c r="K54" s="112">
        <v>600719</v>
      </c>
      <c r="L54" s="112">
        <v>195347</v>
      </c>
      <c r="M54" s="122" t="str">
        <f t="shared" si="9"/>
        <v>EFMA</v>
      </c>
      <c r="N54" s="266" t="s">
        <v>580</v>
      </c>
      <c r="O54" s="266"/>
      <c r="P54" s="266" t="s">
        <v>666</v>
      </c>
      <c r="Q54" s="266"/>
      <c r="R54" s="265">
        <v>5</v>
      </c>
      <c r="S54" s="278">
        <f t="shared" si="3"/>
        <v>16</v>
      </c>
      <c r="T54" s="119"/>
      <c r="U54" s="120"/>
      <c r="V54" s="123"/>
      <c r="W54" s="112"/>
      <c r="X54" s="112"/>
      <c r="Y54" s="112"/>
      <c r="AA54" s="112"/>
      <c r="AB54" s="112"/>
      <c r="AC54" s="122"/>
    </row>
    <row r="55" spans="1:29" ht="12.75">
      <c r="A55" s="118" t="s">
        <v>107</v>
      </c>
      <c r="B55" s="119" t="str">
        <f t="shared" si="4"/>
        <v>62</v>
      </c>
      <c r="C55" s="120">
        <f t="shared" si="5"/>
        <v>56.8</v>
      </c>
      <c r="D55" s="119" t="str">
        <f t="shared" si="6"/>
        <v>23</v>
      </c>
      <c r="E55" s="120">
        <f t="shared" si="7"/>
        <v>31.133333333333333</v>
      </c>
      <c r="F55" s="123" t="s">
        <v>332</v>
      </c>
      <c r="G55" s="112"/>
      <c r="H55" s="112"/>
      <c r="I55" s="112"/>
      <c r="J55" s="114" t="s">
        <v>186</v>
      </c>
      <c r="K55" s="112">
        <v>625648</v>
      </c>
      <c r="L55" s="112">
        <v>233108</v>
      </c>
      <c r="M55" s="122" t="str">
        <f t="shared" si="9"/>
        <v>EFME</v>
      </c>
      <c r="N55" s="266" t="s">
        <v>572</v>
      </c>
      <c r="O55" s="266"/>
      <c r="P55" s="266" t="s">
        <v>616</v>
      </c>
      <c r="Q55" s="266"/>
      <c r="R55" s="265">
        <v>101</v>
      </c>
      <c r="S55" s="278">
        <f t="shared" si="3"/>
        <v>331</v>
      </c>
      <c r="T55" s="119"/>
      <c r="U55" s="120"/>
      <c r="V55" s="123"/>
      <c r="W55" s="112"/>
      <c r="X55" s="112"/>
      <c r="Y55" s="112"/>
      <c r="AA55" s="112"/>
      <c r="AB55" s="112"/>
      <c r="AC55" s="122"/>
    </row>
    <row r="56" spans="1:29" ht="12.75">
      <c r="A56" s="118" t="s">
        <v>108</v>
      </c>
      <c r="B56" s="119" t="str">
        <f t="shared" si="4"/>
        <v>61</v>
      </c>
      <c r="C56" s="120">
        <f t="shared" si="5"/>
        <v>41.18333333333333</v>
      </c>
      <c r="D56" s="119" t="str">
        <f t="shared" si="6"/>
        <v>27</v>
      </c>
      <c r="E56" s="120">
        <f t="shared" si="7"/>
        <v>12</v>
      </c>
      <c r="F56" s="123" t="s">
        <v>310</v>
      </c>
      <c r="G56" s="112"/>
      <c r="H56" s="112"/>
      <c r="I56" s="112" t="s">
        <v>311</v>
      </c>
      <c r="J56" s="114" t="s">
        <v>187</v>
      </c>
      <c r="K56" s="112">
        <v>614111</v>
      </c>
      <c r="L56" s="112">
        <v>271200</v>
      </c>
      <c r="M56" s="122" t="str">
        <f t="shared" si="9"/>
        <v>EFMI</v>
      </c>
      <c r="N56" s="266" t="s">
        <v>570</v>
      </c>
      <c r="O56" s="266"/>
      <c r="P56" s="266" t="s">
        <v>667</v>
      </c>
      <c r="Q56" s="266"/>
      <c r="R56" s="265">
        <v>100</v>
      </c>
      <c r="S56" s="278">
        <f t="shared" si="3"/>
        <v>328</v>
      </c>
      <c r="T56" s="119"/>
      <c r="U56" s="120"/>
      <c r="V56" s="123"/>
      <c r="W56" s="112"/>
      <c r="X56" s="112"/>
      <c r="Y56" s="112"/>
      <c r="AA56" s="112"/>
      <c r="AB56" s="112"/>
      <c r="AC56" s="122"/>
    </row>
    <row r="57" spans="1:29" ht="12.75">
      <c r="A57" s="118" t="s">
        <v>109</v>
      </c>
      <c r="B57" s="119" t="str">
        <f t="shared" si="4"/>
        <v>60</v>
      </c>
      <c r="C57" s="120">
        <f t="shared" si="5"/>
        <v>34.35</v>
      </c>
      <c r="D57" s="119" t="str">
        <f t="shared" si="6"/>
        <v>25</v>
      </c>
      <c r="E57" s="120">
        <f t="shared" si="7"/>
        <v>30.533333333333335</v>
      </c>
      <c r="F57" s="123" t="s">
        <v>332</v>
      </c>
      <c r="G57" s="112"/>
      <c r="H57" s="112"/>
      <c r="I57" s="112"/>
      <c r="J57" s="114" t="s">
        <v>188</v>
      </c>
      <c r="K57" s="112">
        <v>603421</v>
      </c>
      <c r="L57" s="112">
        <v>253032</v>
      </c>
      <c r="M57" s="122" t="str">
        <f t="shared" si="9"/>
        <v>EFMN</v>
      </c>
      <c r="N57" s="266" t="s">
        <v>572</v>
      </c>
      <c r="O57" s="266"/>
      <c r="P57" s="266" t="s">
        <v>617</v>
      </c>
      <c r="Q57" s="266"/>
      <c r="R57" s="265">
        <v>41</v>
      </c>
      <c r="S57" s="278">
        <f t="shared" si="3"/>
        <v>135</v>
      </c>
      <c r="T57" s="119"/>
      <c r="U57" s="120"/>
      <c r="V57" s="123"/>
      <c r="W57" s="112"/>
      <c r="X57" s="112"/>
      <c r="Y57" s="112"/>
      <c r="AA57" s="112"/>
      <c r="AB57" s="112"/>
      <c r="AC57" s="122"/>
    </row>
    <row r="58" spans="1:29" ht="12.75">
      <c r="A58" s="118" t="s">
        <v>110</v>
      </c>
      <c r="B58" s="119" t="str">
        <f t="shared" si="4"/>
        <v>68</v>
      </c>
      <c r="C58" s="120">
        <f t="shared" si="5"/>
        <v>39.61666666666667</v>
      </c>
      <c r="D58" s="119" t="str">
        <f t="shared" si="6"/>
        <v>25</v>
      </c>
      <c r="E58" s="120">
        <f t="shared" si="7"/>
        <v>42.166666666666664</v>
      </c>
      <c r="F58" s="123" t="s">
        <v>332</v>
      </c>
      <c r="G58" s="112"/>
      <c r="H58" s="112"/>
      <c r="I58" s="112"/>
      <c r="J58" s="114" t="s">
        <v>189</v>
      </c>
      <c r="K58" s="112">
        <v>683937</v>
      </c>
      <c r="L58" s="112">
        <v>254210</v>
      </c>
      <c r="M58" s="122" t="str">
        <f t="shared" si="9"/>
        <v>EFMP</v>
      </c>
      <c r="N58" s="266" t="s">
        <v>570</v>
      </c>
      <c r="O58" s="266" t="s">
        <v>611</v>
      </c>
      <c r="P58" s="266" t="s">
        <v>646</v>
      </c>
      <c r="Q58" s="266" t="s">
        <v>647</v>
      </c>
      <c r="R58" s="265">
        <v>465</v>
      </c>
      <c r="S58" s="278">
        <f t="shared" si="3"/>
        <v>1526</v>
      </c>
      <c r="T58" s="119"/>
      <c r="U58" s="120"/>
      <c r="V58" s="123"/>
      <c r="W58" s="112"/>
      <c r="X58" s="112"/>
      <c r="Y58" s="112"/>
      <c r="AA58" s="112"/>
      <c r="AB58" s="112"/>
      <c r="AC58" s="122"/>
    </row>
    <row r="59" spans="1:29" ht="12.75">
      <c r="A59" s="118" t="s">
        <v>360</v>
      </c>
      <c r="B59" s="119" t="str">
        <f t="shared" si="4"/>
        <v>60</v>
      </c>
      <c r="C59" s="120">
        <f t="shared" si="5"/>
        <v>31.2</v>
      </c>
      <c r="D59" s="119" t="str">
        <f t="shared" si="6"/>
        <v>24</v>
      </c>
      <c r="E59" s="120">
        <f t="shared" si="7"/>
        <v>49.9</v>
      </c>
      <c r="F59" s="123" t="s">
        <v>248</v>
      </c>
      <c r="G59" s="112"/>
      <c r="H59" s="112"/>
      <c r="I59" s="112"/>
      <c r="J59" s="114" t="s">
        <v>361</v>
      </c>
      <c r="K59" s="112">
        <v>603112</v>
      </c>
      <c r="L59" s="112">
        <v>244954</v>
      </c>
      <c r="M59" s="122" t="str">
        <f t="shared" si="9"/>
        <v>EFNS</v>
      </c>
      <c r="N59" s="266" t="s">
        <v>576</v>
      </c>
      <c r="O59" s="266"/>
      <c r="P59" s="266" t="s">
        <v>634</v>
      </c>
      <c r="Q59" s="266"/>
      <c r="R59" s="265">
        <v>71</v>
      </c>
      <c r="S59" s="278">
        <f t="shared" si="3"/>
        <v>233</v>
      </c>
      <c r="T59" s="119"/>
      <c r="U59" s="120"/>
      <c r="V59" s="123"/>
      <c r="W59" s="112"/>
      <c r="X59" s="112"/>
      <c r="Y59" s="112"/>
      <c r="AA59" s="112"/>
      <c r="AB59" s="112"/>
      <c r="AC59" s="122"/>
    </row>
    <row r="60" spans="1:29" ht="12.75">
      <c r="A60" s="118" t="s">
        <v>35</v>
      </c>
      <c r="B60" s="119" t="str">
        <f t="shared" si="4"/>
        <v>60</v>
      </c>
      <c r="C60" s="120">
        <f t="shared" si="5"/>
        <v>20.033333333333335</v>
      </c>
      <c r="D60" s="119" t="str">
        <f t="shared" si="6"/>
        <v>24</v>
      </c>
      <c r="E60" s="120">
        <f t="shared" si="7"/>
        <v>17.783333333333335</v>
      </c>
      <c r="F60" s="123" t="s">
        <v>548</v>
      </c>
      <c r="G60" s="112"/>
      <c r="H60" s="112"/>
      <c r="I60" s="112"/>
      <c r="J60" s="125" t="s">
        <v>190</v>
      </c>
      <c r="K60" s="112">
        <v>602002</v>
      </c>
      <c r="L60" s="112">
        <v>241747</v>
      </c>
      <c r="M60" s="122" t="str">
        <f t="shared" si="9"/>
        <v>EFNU</v>
      </c>
      <c r="N60" s="266" t="s">
        <v>572</v>
      </c>
      <c r="O60" s="266" t="s">
        <v>592</v>
      </c>
      <c r="P60" s="266" t="s">
        <v>618</v>
      </c>
      <c r="Q60" s="266" t="s">
        <v>571</v>
      </c>
      <c r="R60" s="265">
        <v>112</v>
      </c>
      <c r="S60" s="278">
        <f t="shared" si="3"/>
        <v>367</v>
      </c>
      <c r="T60" s="119"/>
      <c r="U60" s="120"/>
      <c r="V60" s="123"/>
      <c r="W60" s="112"/>
      <c r="X60" s="112"/>
      <c r="Y60" s="112"/>
      <c r="Z60" s="125"/>
      <c r="AA60" s="112"/>
      <c r="AB60" s="112"/>
      <c r="AC60" s="122"/>
    </row>
    <row r="61" spans="1:29" ht="12.75">
      <c r="A61" s="118" t="s">
        <v>111</v>
      </c>
      <c r="B61" s="119" t="str">
        <f t="shared" si="4"/>
        <v>60</v>
      </c>
      <c r="C61" s="120">
        <f t="shared" si="5"/>
        <v>52.583333333333336</v>
      </c>
      <c r="D61" s="119" t="str">
        <f t="shared" si="6"/>
        <v>22</v>
      </c>
      <c r="E61" s="120">
        <f t="shared" si="7"/>
        <v>44.68333333333333</v>
      </c>
      <c r="F61" s="123" t="s">
        <v>338</v>
      </c>
      <c r="G61" s="112"/>
      <c r="H61" s="112"/>
      <c r="I61" s="112" t="s">
        <v>370</v>
      </c>
      <c r="J61" s="114" t="s">
        <v>191</v>
      </c>
      <c r="K61" s="112">
        <v>605235</v>
      </c>
      <c r="L61" s="112">
        <v>224441</v>
      </c>
      <c r="M61" s="122" t="str">
        <f t="shared" si="9"/>
        <v>EFOP</v>
      </c>
      <c r="N61" s="266" t="s">
        <v>578</v>
      </c>
      <c r="O61" s="266" t="s">
        <v>561</v>
      </c>
      <c r="P61" s="266" t="s">
        <v>619</v>
      </c>
      <c r="Q61" s="266" t="s">
        <v>620</v>
      </c>
      <c r="R61" s="265">
        <v>101</v>
      </c>
      <c r="S61" s="278">
        <f t="shared" si="3"/>
        <v>331</v>
      </c>
      <c r="T61" s="119"/>
      <c r="U61" s="120"/>
      <c r="V61" s="123"/>
      <c r="W61" s="112"/>
      <c r="X61" s="112"/>
      <c r="Y61" s="112"/>
      <c r="AA61" s="112"/>
      <c r="AB61" s="112"/>
      <c r="AC61" s="122"/>
    </row>
    <row r="62" spans="1:29" ht="12.75">
      <c r="A62" s="118" t="s">
        <v>112</v>
      </c>
      <c r="B62" s="119" t="str">
        <f t="shared" si="4"/>
        <v>64</v>
      </c>
      <c r="C62" s="120">
        <f t="shared" si="5"/>
        <v>55.75</v>
      </c>
      <c r="D62" s="119" t="str">
        <f t="shared" si="6"/>
        <v>25</v>
      </c>
      <c r="E62" s="120">
        <f t="shared" si="7"/>
        <v>21.333333333333332</v>
      </c>
      <c r="F62" s="123" t="s">
        <v>312</v>
      </c>
      <c r="G62" s="112"/>
      <c r="H62" s="112"/>
      <c r="I62" s="112" t="s">
        <v>313</v>
      </c>
      <c r="J62" s="114" t="s">
        <v>192</v>
      </c>
      <c r="K62" s="112">
        <v>645545</v>
      </c>
      <c r="L62" s="112">
        <v>252120</v>
      </c>
      <c r="M62" s="122" t="str">
        <f t="shared" si="9"/>
        <v>EFOU</v>
      </c>
      <c r="N62" s="266" t="s">
        <v>568</v>
      </c>
      <c r="O62" s="266"/>
      <c r="P62" s="266" t="s">
        <v>668</v>
      </c>
      <c r="Q62" s="266"/>
      <c r="R62" s="265">
        <v>14</v>
      </c>
      <c r="S62" s="278">
        <f t="shared" si="3"/>
        <v>46</v>
      </c>
      <c r="T62" s="119"/>
      <c r="U62" s="120"/>
      <c r="V62" s="123"/>
      <c r="W62" s="112"/>
      <c r="X62" s="112"/>
      <c r="Y62" s="112"/>
      <c r="AA62" s="112"/>
      <c r="AB62" s="112"/>
      <c r="AC62" s="122"/>
    </row>
    <row r="63" spans="1:29" ht="12.75">
      <c r="A63" s="118" t="s">
        <v>113</v>
      </c>
      <c r="B63" s="119" t="str">
        <f t="shared" si="4"/>
        <v>68</v>
      </c>
      <c r="C63" s="120">
        <f t="shared" si="5"/>
        <v>8.733333333333333</v>
      </c>
      <c r="D63" s="119" t="str">
        <f t="shared" si="6"/>
        <v>25</v>
      </c>
      <c r="E63" s="120">
        <f t="shared" si="7"/>
        <v>49.36666666666667</v>
      </c>
      <c r="F63" s="123" t="s">
        <v>248</v>
      </c>
      <c r="G63" s="112"/>
      <c r="H63" s="112"/>
      <c r="I63" s="112"/>
      <c r="J63" s="114" t="s">
        <v>193</v>
      </c>
      <c r="K63" s="112">
        <v>680844</v>
      </c>
      <c r="L63" s="112">
        <v>254922</v>
      </c>
      <c r="M63" s="122" t="str">
        <f t="shared" si="9"/>
        <v>EFPA</v>
      </c>
      <c r="N63" s="266" t="s">
        <v>611</v>
      </c>
      <c r="O63" s="266"/>
      <c r="P63" s="266" t="s">
        <v>566</v>
      </c>
      <c r="Q63" s="266"/>
      <c r="R63" s="265">
        <v>260</v>
      </c>
      <c r="S63" s="278">
        <f t="shared" si="3"/>
        <v>853</v>
      </c>
      <c r="T63" s="119"/>
      <c r="U63" s="120"/>
      <c r="V63" s="123"/>
      <c r="W63" s="112"/>
      <c r="X63" s="112"/>
      <c r="Y63" s="112"/>
      <c r="AA63" s="112"/>
      <c r="AB63" s="112"/>
      <c r="AC63" s="122"/>
    </row>
    <row r="64" spans="1:29" ht="12.75">
      <c r="A64" s="118" t="s">
        <v>114</v>
      </c>
      <c r="B64" s="119" t="str">
        <f t="shared" si="4"/>
        <v>61</v>
      </c>
      <c r="C64" s="120">
        <f t="shared" si="5"/>
        <v>14.716666666666667</v>
      </c>
      <c r="D64" s="119" t="str">
        <f t="shared" si="6"/>
        <v>22</v>
      </c>
      <c r="E64" s="120">
        <f t="shared" si="7"/>
        <v>11.7</v>
      </c>
      <c r="F64" s="123" t="s">
        <v>333</v>
      </c>
      <c r="G64" s="112"/>
      <c r="H64" s="112"/>
      <c r="I64" s="112"/>
      <c r="J64" s="114" t="s">
        <v>194</v>
      </c>
      <c r="K64" s="112">
        <v>611443</v>
      </c>
      <c r="L64" s="112">
        <v>221142</v>
      </c>
      <c r="M64" s="122" t="str">
        <f t="shared" si="9"/>
        <v>EFPI</v>
      </c>
      <c r="N64" s="268" t="s">
        <v>568</v>
      </c>
      <c r="O64" s="266" t="s">
        <v>589</v>
      </c>
      <c r="P64" s="114" t="s">
        <v>622</v>
      </c>
      <c r="Q64" s="266" t="s">
        <v>623</v>
      </c>
      <c r="R64" s="112">
        <v>45</v>
      </c>
      <c r="S64" s="278">
        <f t="shared" si="3"/>
        <v>148</v>
      </c>
      <c r="T64" s="119"/>
      <c r="U64" s="120"/>
      <c r="V64" s="123"/>
      <c r="W64" s="112"/>
      <c r="X64" s="112"/>
      <c r="Y64" s="112"/>
      <c r="AA64" s="112"/>
      <c r="AB64" s="112"/>
      <c r="AC64" s="122"/>
    </row>
    <row r="65" spans="1:29" ht="12.75">
      <c r="A65" s="118" t="s">
        <v>115</v>
      </c>
      <c r="B65" s="119" t="str">
        <f t="shared" si="4"/>
        <v>62</v>
      </c>
      <c r="C65" s="120">
        <f t="shared" si="5"/>
        <v>15.883333333333333</v>
      </c>
      <c r="D65" s="119" t="str">
        <f t="shared" si="6"/>
        <v>27</v>
      </c>
      <c r="E65" s="120">
        <f t="shared" si="7"/>
        <v>0.16666666666666666</v>
      </c>
      <c r="F65" s="123" t="s">
        <v>338</v>
      </c>
      <c r="G65" s="112"/>
      <c r="H65" s="112"/>
      <c r="I65" s="112"/>
      <c r="J65" s="114" t="s">
        <v>195</v>
      </c>
      <c r="K65" s="112">
        <v>621553</v>
      </c>
      <c r="L65" s="112">
        <v>270010</v>
      </c>
      <c r="M65" s="122" t="str">
        <f t="shared" si="9"/>
        <v>EFPK</v>
      </c>
      <c r="N65" s="266" t="s">
        <v>595</v>
      </c>
      <c r="O65" s="266"/>
      <c r="P65" s="266" t="s">
        <v>621</v>
      </c>
      <c r="Q65" s="266"/>
      <c r="R65" s="265">
        <v>119</v>
      </c>
      <c r="S65" s="278">
        <f t="shared" si="3"/>
        <v>390</v>
      </c>
      <c r="T65" s="119"/>
      <c r="U65" s="120"/>
      <c r="V65" s="123"/>
      <c r="W65" s="112"/>
      <c r="X65" s="112"/>
      <c r="Y65" s="112"/>
      <c r="AA65" s="112"/>
      <c r="AB65" s="112"/>
      <c r="AC65" s="122"/>
    </row>
    <row r="66" spans="1:29" ht="12.75">
      <c r="A66" s="118" t="s">
        <v>116</v>
      </c>
      <c r="B66" s="119" t="str">
        <f t="shared" si="4"/>
        <v>61</v>
      </c>
      <c r="C66" s="120">
        <f t="shared" si="5"/>
        <v>43.733333333333334</v>
      </c>
      <c r="D66" s="119" t="str">
        <f t="shared" si="6"/>
        <v>29</v>
      </c>
      <c r="E66" s="120">
        <f t="shared" si="7"/>
        <v>23.616666666666667</v>
      </c>
      <c r="F66" s="123" t="s">
        <v>329</v>
      </c>
      <c r="G66" s="112"/>
      <c r="H66" s="112"/>
      <c r="I66" s="112"/>
      <c r="J66" s="114" t="s">
        <v>196</v>
      </c>
      <c r="K66" s="112">
        <v>614344</v>
      </c>
      <c r="L66" s="112">
        <v>292337</v>
      </c>
      <c r="M66" s="122" t="str">
        <f t="shared" si="9"/>
        <v>EFPN</v>
      </c>
      <c r="N66" s="266" t="s">
        <v>611</v>
      </c>
      <c r="O66" s="266"/>
      <c r="P66" s="266" t="s">
        <v>625</v>
      </c>
      <c r="Q66" s="266"/>
      <c r="R66" s="265">
        <v>77</v>
      </c>
      <c r="S66" s="278">
        <f t="shared" si="3"/>
        <v>253</v>
      </c>
      <c r="T66" s="119"/>
      <c r="U66" s="120"/>
      <c r="V66" s="123"/>
      <c r="W66" s="112"/>
      <c r="X66" s="112"/>
      <c r="Y66" s="112"/>
      <c r="AA66" s="112"/>
      <c r="AB66" s="112"/>
      <c r="AC66" s="122"/>
    </row>
    <row r="67" spans="1:29" ht="12.75">
      <c r="A67" s="118" t="s">
        <v>43</v>
      </c>
      <c r="B67" s="119" t="str">
        <f t="shared" si="4"/>
        <v>61</v>
      </c>
      <c r="C67" s="120">
        <f t="shared" si="5"/>
        <v>27.683333333333334</v>
      </c>
      <c r="D67" s="119" t="str">
        <f t="shared" si="6"/>
        <v>21</v>
      </c>
      <c r="E67" s="120">
        <f t="shared" si="7"/>
        <v>47.86666666666667</v>
      </c>
      <c r="F67" s="123" t="s">
        <v>383</v>
      </c>
      <c r="G67" s="112"/>
      <c r="H67" s="112"/>
      <c r="I67" s="112" t="s">
        <v>826</v>
      </c>
      <c r="J67" s="114" t="s">
        <v>197</v>
      </c>
      <c r="K67" s="112">
        <v>612741</v>
      </c>
      <c r="L67" s="112">
        <v>214752</v>
      </c>
      <c r="M67" s="122" t="str">
        <f t="shared" si="9"/>
        <v>EFPO</v>
      </c>
      <c r="N67" s="266" t="s">
        <v>568</v>
      </c>
      <c r="O67" s="266" t="s">
        <v>589</v>
      </c>
      <c r="P67" s="266" t="s">
        <v>669</v>
      </c>
      <c r="Q67" s="266" t="s">
        <v>670</v>
      </c>
      <c r="R67" s="265">
        <v>13</v>
      </c>
      <c r="S67" s="278">
        <f t="shared" si="3"/>
        <v>43</v>
      </c>
      <c r="T67" s="119"/>
      <c r="U67" s="120"/>
      <c r="V67" s="123"/>
      <c r="W67" s="112"/>
      <c r="X67" s="112"/>
      <c r="Y67" s="112"/>
      <c r="AA67" s="112"/>
      <c r="AB67" s="112"/>
      <c r="AC67" s="122"/>
    </row>
    <row r="68" spans="1:29" ht="12.75">
      <c r="A68" s="118" t="s">
        <v>117</v>
      </c>
      <c r="B68" s="119" t="str">
        <f t="shared" si="4"/>
        <v>65</v>
      </c>
      <c r="C68" s="120">
        <f t="shared" si="5"/>
        <v>24.133333333333333</v>
      </c>
      <c r="D68" s="119" t="str">
        <f t="shared" si="6"/>
        <v>26</v>
      </c>
      <c r="E68" s="120">
        <f t="shared" si="7"/>
        <v>56.81666666666667</v>
      </c>
      <c r="F68" s="123" t="s">
        <v>338</v>
      </c>
      <c r="G68" s="112"/>
      <c r="H68" s="112"/>
      <c r="I68" s="112"/>
      <c r="J68" s="114" t="s">
        <v>198</v>
      </c>
      <c r="K68" s="112">
        <v>652408</v>
      </c>
      <c r="L68" s="112">
        <v>265649</v>
      </c>
      <c r="M68" s="122" t="str">
        <f t="shared" si="9"/>
        <v>EFPU</v>
      </c>
      <c r="N68" s="266" t="s">
        <v>569</v>
      </c>
      <c r="O68" s="266"/>
      <c r="P68" s="266" t="s">
        <v>624</v>
      </c>
      <c r="Q68" s="266"/>
      <c r="R68" s="265">
        <v>121</v>
      </c>
      <c r="S68" s="278">
        <f t="shared" si="3"/>
        <v>397</v>
      </c>
      <c r="T68" s="119"/>
      <c r="U68" s="120"/>
      <c r="V68" s="123"/>
      <c r="W68" s="112"/>
      <c r="X68" s="112"/>
      <c r="Y68" s="112"/>
      <c r="AA68" s="112"/>
      <c r="AB68" s="112"/>
      <c r="AC68" s="122"/>
    </row>
    <row r="69" spans="1:29" ht="12.75">
      <c r="A69" s="118" t="s">
        <v>118</v>
      </c>
      <c r="B69" s="119" t="str">
        <f t="shared" si="4"/>
        <v>63</v>
      </c>
      <c r="C69" s="120">
        <f t="shared" si="5"/>
        <v>43.75</v>
      </c>
      <c r="D69" s="119" t="str">
        <f t="shared" si="6"/>
        <v>25</v>
      </c>
      <c r="E69" s="120">
        <f t="shared" si="7"/>
        <v>55.916666666666664</v>
      </c>
      <c r="F69" s="123" t="s">
        <v>339</v>
      </c>
      <c r="G69" s="112"/>
      <c r="H69" s="112"/>
      <c r="I69" s="112"/>
      <c r="J69" s="114" t="s">
        <v>199</v>
      </c>
      <c r="K69" s="112">
        <v>634345</v>
      </c>
      <c r="L69" s="112">
        <v>255555</v>
      </c>
      <c r="M69" s="122" t="str">
        <f t="shared" si="9"/>
        <v>EFPY</v>
      </c>
      <c r="N69" s="266" t="s">
        <v>595</v>
      </c>
      <c r="O69" s="266"/>
      <c r="P69" s="266" t="s">
        <v>626</v>
      </c>
      <c r="Q69" s="266"/>
      <c r="R69" s="265">
        <v>161</v>
      </c>
      <c r="S69" s="278">
        <f t="shared" si="3"/>
        <v>528</v>
      </c>
      <c r="T69" s="119"/>
      <c r="U69" s="120"/>
      <c r="V69" s="123"/>
      <c r="W69" s="112"/>
      <c r="X69" s="112"/>
      <c r="Y69" s="112"/>
      <c r="AA69" s="112"/>
      <c r="AB69" s="112"/>
      <c r="AC69" s="122"/>
    </row>
    <row r="70" spans="1:29" ht="12.75">
      <c r="A70" s="118" t="s">
        <v>119</v>
      </c>
      <c r="B70" s="119" t="str">
        <f t="shared" si="4"/>
        <v>63</v>
      </c>
      <c r="C70" s="120">
        <f t="shared" si="5"/>
        <v>25.45</v>
      </c>
      <c r="D70" s="119" t="str">
        <f t="shared" si="6"/>
        <v>28</v>
      </c>
      <c r="E70" s="120">
        <f t="shared" si="7"/>
        <v>7.45</v>
      </c>
      <c r="F70" s="123" t="s">
        <v>336</v>
      </c>
      <c r="G70" s="112"/>
      <c r="H70" s="112"/>
      <c r="I70" s="112"/>
      <c r="J70" s="114" t="s">
        <v>200</v>
      </c>
      <c r="K70" s="112">
        <v>632527</v>
      </c>
      <c r="L70" s="112">
        <v>280727</v>
      </c>
      <c r="M70" s="122" t="str">
        <f aca="true" t="shared" si="10" ref="M70:M107">A70</f>
        <v>EFRA</v>
      </c>
      <c r="N70" s="266" t="s">
        <v>602</v>
      </c>
      <c r="O70" s="266" t="s">
        <v>576</v>
      </c>
      <c r="P70" s="266" t="s">
        <v>629</v>
      </c>
      <c r="Q70" s="266" t="s">
        <v>625</v>
      </c>
      <c r="R70" s="265">
        <v>145</v>
      </c>
      <c r="S70" s="278">
        <f t="shared" si="3"/>
        <v>476</v>
      </c>
      <c r="T70" s="119"/>
      <c r="U70" s="120"/>
      <c r="V70" s="123"/>
      <c r="W70" s="112"/>
      <c r="X70" s="112"/>
      <c r="Y70" s="112"/>
      <c r="AA70" s="112"/>
      <c r="AB70" s="112"/>
      <c r="AC70" s="122"/>
    </row>
    <row r="71" spans="1:29" ht="12.75">
      <c r="A71" s="118" t="s">
        <v>120</v>
      </c>
      <c r="B71" s="119" t="str">
        <f t="shared" si="4"/>
        <v>64</v>
      </c>
      <c r="C71" s="120">
        <f t="shared" si="5"/>
        <v>41.28333333333333</v>
      </c>
      <c r="D71" s="119" t="str">
        <f t="shared" si="6"/>
        <v>24</v>
      </c>
      <c r="E71" s="120">
        <f t="shared" si="7"/>
        <v>41.75</v>
      </c>
      <c r="F71" s="123" t="s">
        <v>332</v>
      </c>
      <c r="G71" s="112"/>
      <c r="H71" s="112"/>
      <c r="I71" s="112"/>
      <c r="J71" s="114" t="s">
        <v>372</v>
      </c>
      <c r="K71" s="112">
        <v>644117</v>
      </c>
      <c r="L71" s="112">
        <v>244145</v>
      </c>
      <c r="M71" s="122" t="str">
        <f t="shared" si="10"/>
        <v>EFRH</v>
      </c>
      <c r="N71" s="266" t="s">
        <v>603</v>
      </c>
      <c r="O71" s="266"/>
      <c r="P71" s="266" t="s">
        <v>622</v>
      </c>
      <c r="Q71" s="266"/>
      <c r="R71" s="265">
        <v>36</v>
      </c>
      <c r="S71" s="278">
        <f t="shared" si="3"/>
        <v>118</v>
      </c>
      <c r="T71" s="119"/>
      <c r="U71" s="120"/>
      <c r="V71" s="123"/>
      <c r="W71" s="112"/>
      <c r="X71" s="112"/>
      <c r="Y71" s="112"/>
      <c r="AA71" s="112"/>
      <c r="AB71" s="112"/>
      <c r="AC71" s="122"/>
    </row>
    <row r="72" spans="1:29" ht="12.75">
      <c r="A72" s="118" t="s">
        <v>121</v>
      </c>
      <c r="B72" s="119" t="str">
        <f t="shared" si="4"/>
        <v>62</v>
      </c>
      <c r="C72" s="120">
        <f t="shared" si="5"/>
        <v>3.9333333333333336</v>
      </c>
      <c r="D72" s="119" t="str">
        <f t="shared" si="6"/>
        <v>28</v>
      </c>
      <c r="E72" s="120">
        <f t="shared" si="7"/>
        <v>21.4</v>
      </c>
      <c r="F72" s="123" t="s">
        <v>338</v>
      </c>
      <c r="G72" s="112"/>
      <c r="H72" s="112"/>
      <c r="I72" s="112"/>
      <c r="J72" s="114" t="s">
        <v>201</v>
      </c>
      <c r="K72" s="112">
        <v>620356</v>
      </c>
      <c r="L72" s="112">
        <v>282124</v>
      </c>
      <c r="M72" s="122" t="str">
        <f t="shared" si="10"/>
        <v>EFRN</v>
      </c>
      <c r="N72" s="266" t="s">
        <v>602</v>
      </c>
      <c r="O72" s="266"/>
      <c r="P72" s="266" t="s">
        <v>627</v>
      </c>
      <c r="Q72" s="266"/>
      <c r="R72" s="265">
        <v>89</v>
      </c>
      <c r="S72" s="278">
        <f aca="true" t="shared" si="11" ref="S72:S95">ROUND((R72*3.2808399),0)</f>
        <v>292</v>
      </c>
      <c r="T72" s="119"/>
      <c r="U72" s="120"/>
      <c r="V72" s="123"/>
      <c r="W72" s="112"/>
      <c r="X72" s="112"/>
      <c r="Y72" s="112"/>
      <c r="AA72" s="112"/>
      <c r="AB72" s="112"/>
      <c r="AC72" s="122"/>
    </row>
    <row r="73" spans="1:29" ht="12.75">
      <c r="A73" s="118" t="s">
        <v>122</v>
      </c>
      <c r="B73" s="119" t="str">
        <f t="shared" si="4"/>
        <v>66</v>
      </c>
      <c r="C73" s="120">
        <f t="shared" si="5"/>
        <v>33.7</v>
      </c>
      <c r="D73" s="119" t="str">
        <f t="shared" si="6"/>
        <v>25</v>
      </c>
      <c r="E73" s="120">
        <f t="shared" si="7"/>
        <v>49.85</v>
      </c>
      <c r="F73" s="123" t="s">
        <v>314</v>
      </c>
      <c r="G73" s="112"/>
      <c r="H73" s="112" t="s">
        <v>315</v>
      </c>
      <c r="I73" s="112" t="s">
        <v>316</v>
      </c>
      <c r="J73" s="114" t="s">
        <v>202</v>
      </c>
      <c r="K73" s="112">
        <v>663342</v>
      </c>
      <c r="L73" s="112">
        <v>254951</v>
      </c>
      <c r="M73" s="122" t="str">
        <f t="shared" si="10"/>
        <v>EFRO</v>
      </c>
      <c r="N73" s="266" t="s">
        <v>580</v>
      </c>
      <c r="O73" s="266"/>
      <c r="P73" s="266" t="s">
        <v>674</v>
      </c>
      <c r="Q73" s="266"/>
      <c r="R73" s="265">
        <v>196</v>
      </c>
      <c r="S73" s="278">
        <f t="shared" si="11"/>
        <v>643</v>
      </c>
      <c r="T73" s="119"/>
      <c r="U73" s="120"/>
      <c r="V73" s="123"/>
      <c r="W73" s="112"/>
      <c r="X73" s="112"/>
      <c r="Y73" s="112"/>
      <c r="AA73" s="112"/>
      <c r="AB73" s="112"/>
      <c r="AC73" s="122"/>
    </row>
    <row r="74" spans="1:29" ht="12.75">
      <c r="A74" s="118" t="s">
        <v>123</v>
      </c>
      <c r="B74" s="119" t="str">
        <f t="shared" si="4"/>
        <v>65</v>
      </c>
      <c r="C74" s="120">
        <f t="shared" si="5"/>
        <v>58.38333333333333</v>
      </c>
      <c r="D74" s="119" t="str">
        <f t="shared" si="6"/>
        <v>26</v>
      </c>
      <c r="E74" s="120">
        <f t="shared" si="7"/>
        <v>21.916666666666668</v>
      </c>
      <c r="F74" s="123" t="s">
        <v>332</v>
      </c>
      <c r="G74" s="112"/>
      <c r="H74" s="112"/>
      <c r="I74" s="112"/>
      <c r="J74" s="114" t="s">
        <v>203</v>
      </c>
      <c r="K74" s="112">
        <v>655823</v>
      </c>
      <c r="L74" s="112">
        <v>262155</v>
      </c>
      <c r="M74" s="122" t="str">
        <f t="shared" si="10"/>
        <v>EFRU</v>
      </c>
      <c r="N74" s="266" t="s">
        <v>595</v>
      </c>
      <c r="O74" s="266"/>
      <c r="P74" s="266" t="s">
        <v>628</v>
      </c>
      <c r="Q74" s="266"/>
      <c r="R74" s="265">
        <v>165</v>
      </c>
      <c r="S74" s="278">
        <f t="shared" si="11"/>
        <v>541</v>
      </c>
      <c r="T74" s="119"/>
      <c r="U74" s="120"/>
      <c r="V74" s="123"/>
      <c r="W74" s="112"/>
      <c r="X74" s="112"/>
      <c r="Y74" s="112"/>
      <c r="AA74" s="112"/>
      <c r="AB74" s="112"/>
      <c r="AC74" s="122"/>
    </row>
    <row r="75" spans="1:29" ht="12.75">
      <c r="A75" s="118" t="s">
        <v>124</v>
      </c>
      <c r="B75" s="119" t="str">
        <f aca="true" t="shared" si="12" ref="B75:B137">LEFT(K75,2)</f>
        <v>63</v>
      </c>
      <c r="C75" s="120">
        <f aca="true" t="shared" si="13" ref="C75:C131">MID(K75,3,2)+(RIGHT(K75,2)/60)</f>
        <v>42.333333333333336</v>
      </c>
      <c r="D75" s="119" t="str">
        <f aca="true" t="shared" si="14" ref="D75:D131">LEFT(L75,2)</f>
        <v>26</v>
      </c>
      <c r="E75" s="120">
        <f aca="true" t="shared" si="15" ref="E75:E131">MID(L75,3,2)+(RIGHT(L75,2)/60)</f>
        <v>36.983333333333334</v>
      </c>
      <c r="F75" s="123" t="s">
        <v>332</v>
      </c>
      <c r="G75" s="112"/>
      <c r="H75" s="112"/>
      <c r="I75" s="112"/>
      <c r="J75" s="114" t="s">
        <v>204</v>
      </c>
      <c r="K75" s="112">
        <v>634220</v>
      </c>
      <c r="L75" s="112">
        <v>263659</v>
      </c>
      <c r="M75" s="122" t="str">
        <f t="shared" si="10"/>
        <v>EFRV</v>
      </c>
      <c r="N75" s="266" t="s">
        <v>595</v>
      </c>
      <c r="O75" s="266"/>
      <c r="P75" s="266" t="s">
        <v>607</v>
      </c>
      <c r="Q75" s="266"/>
      <c r="R75" s="265">
        <v>157</v>
      </c>
      <c r="S75" s="278">
        <f t="shared" si="11"/>
        <v>515</v>
      </c>
      <c r="T75" s="119"/>
      <c r="U75" s="120"/>
      <c r="V75" s="123"/>
      <c r="W75" s="112"/>
      <c r="X75" s="112"/>
      <c r="Y75" s="112"/>
      <c r="AA75" s="112"/>
      <c r="AB75" s="112"/>
      <c r="AC75" s="122"/>
    </row>
    <row r="76" spans="1:29" ht="12.75">
      <c r="A76" s="118" t="s">
        <v>4</v>
      </c>
      <c r="B76" s="119" t="str">
        <f t="shared" si="12"/>
        <v>60</v>
      </c>
      <c r="C76" s="120">
        <f t="shared" si="13"/>
        <v>44.68333333333333</v>
      </c>
      <c r="D76" s="119" t="str">
        <f t="shared" si="14"/>
        <v>24</v>
      </c>
      <c r="E76" s="120">
        <f t="shared" si="15"/>
        <v>6.466666666666667</v>
      </c>
      <c r="F76" s="123" t="s">
        <v>249</v>
      </c>
      <c r="G76" s="112"/>
      <c r="H76" s="112"/>
      <c r="I76" s="112" t="s">
        <v>549</v>
      </c>
      <c r="J76" s="125" t="s">
        <v>205</v>
      </c>
      <c r="K76" s="112">
        <v>604441</v>
      </c>
      <c r="L76" s="112">
        <v>240628</v>
      </c>
      <c r="M76" s="122" t="str">
        <f t="shared" si="10"/>
        <v>EFRY</v>
      </c>
      <c r="N76" s="266" t="s">
        <v>630</v>
      </c>
      <c r="O76" s="266" t="s">
        <v>631</v>
      </c>
      <c r="P76" s="266" t="s">
        <v>632</v>
      </c>
      <c r="Q76" s="266" t="s">
        <v>633</v>
      </c>
      <c r="R76" s="265">
        <v>124</v>
      </c>
      <c r="S76" s="278">
        <f t="shared" si="11"/>
        <v>407</v>
      </c>
      <c r="T76" s="119"/>
      <c r="U76" s="120"/>
      <c r="V76" s="123"/>
      <c r="W76" s="112"/>
      <c r="X76" s="112"/>
      <c r="Y76" s="112"/>
      <c r="Z76" s="125"/>
      <c r="AA76" s="112"/>
      <c r="AB76" s="112"/>
      <c r="AC76" s="122"/>
    </row>
    <row r="77" spans="1:29" ht="12.75">
      <c r="A77" s="118" t="s">
        <v>125</v>
      </c>
      <c r="B77" s="119" t="str">
        <f t="shared" si="12"/>
        <v>61</v>
      </c>
      <c r="C77" s="120">
        <f t="shared" si="13"/>
        <v>56.56666666666667</v>
      </c>
      <c r="D77" s="119" t="str">
        <f t="shared" si="14"/>
        <v>28</v>
      </c>
      <c r="E77" s="120">
        <f t="shared" si="15"/>
        <v>56.7</v>
      </c>
      <c r="F77" s="123" t="s">
        <v>317</v>
      </c>
      <c r="G77" s="112"/>
      <c r="H77" s="112"/>
      <c r="I77" s="112" t="s">
        <v>827</v>
      </c>
      <c r="J77" s="114" t="s">
        <v>206</v>
      </c>
      <c r="K77" s="112">
        <v>615634</v>
      </c>
      <c r="L77" s="112">
        <v>285642</v>
      </c>
      <c r="M77" s="122" t="str">
        <f t="shared" si="10"/>
        <v>EFSA</v>
      </c>
      <c r="N77" s="266" t="s">
        <v>568</v>
      </c>
      <c r="O77" s="266"/>
      <c r="P77" s="266" t="s">
        <v>671</v>
      </c>
      <c r="Q77" s="266"/>
      <c r="R77" s="265">
        <v>95</v>
      </c>
      <c r="S77" s="278">
        <f t="shared" si="11"/>
        <v>312</v>
      </c>
      <c r="T77" s="119"/>
      <c r="U77" s="120"/>
      <c r="V77" s="123"/>
      <c r="W77" s="112"/>
      <c r="X77" s="112"/>
      <c r="Y77" s="112"/>
      <c r="AA77" s="112"/>
      <c r="AB77" s="112"/>
      <c r="AC77" s="122"/>
    </row>
    <row r="78" spans="1:29" ht="12.75">
      <c r="A78" s="118" t="s">
        <v>126</v>
      </c>
      <c r="B78" s="119" t="str">
        <f t="shared" si="12"/>
        <v>61</v>
      </c>
      <c r="C78" s="120">
        <f t="shared" si="13"/>
        <v>3.85</v>
      </c>
      <c r="D78" s="119" t="str">
        <f t="shared" si="14"/>
        <v>26</v>
      </c>
      <c r="E78" s="120">
        <f t="shared" si="15"/>
        <v>47.733333333333334</v>
      </c>
      <c r="F78" s="123" t="s">
        <v>338</v>
      </c>
      <c r="G78" s="112"/>
      <c r="H78" s="112"/>
      <c r="I78" s="112"/>
      <c r="J78" s="114" t="s">
        <v>207</v>
      </c>
      <c r="K78" s="112">
        <v>610351</v>
      </c>
      <c r="L78" s="112">
        <v>264744</v>
      </c>
      <c r="M78" s="122" t="str">
        <f t="shared" si="10"/>
        <v>EFSE</v>
      </c>
      <c r="N78" s="266" t="s">
        <v>572</v>
      </c>
      <c r="O78" s="266" t="s">
        <v>568</v>
      </c>
      <c r="P78" s="266" t="s">
        <v>635</v>
      </c>
      <c r="Q78" s="266" t="s">
        <v>636</v>
      </c>
      <c r="R78" s="265">
        <v>127</v>
      </c>
      <c r="S78" s="278">
        <f t="shared" si="11"/>
        <v>417</v>
      </c>
      <c r="T78" s="119"/>
      <c r="U78" s="120"/>
      <c r="V78" s="123"/>
      <c r="W78" s="112"/>
      <c r="X78" s="112"/>
      <c r="Y78" s="112"/>
      <c r="AA78" s="112"/>
      <c r="AB78" s="112"/>
      <c r="AC78" s="122"/>
    </row>
    <row r="79" spans="1:29" ht="12.75">
      <c r="A79" s="118" t="s">
        <v>127</v>
      </c>
      <c r="B79" s="119" t="str">
        <f t="shared" si="12"/>
        <v>62</v>
      </c>
      <c r="C79" s="120">
        <f t="shared" si="13"/>
        <v>41.61666666666667</v>
      </c>
      <c r="D79" s="119" t="str">
        <f t="shared" si="14"/>
        <v>22</v>
      </c>
      <c r="E79" s="120">
        <f t="shared" si="15"/>
        <v>49.916666666666664</v>
      </c>
      <c r="F79" s="123" t="s">
        <v>318</v>
      </c>
      <c r="G79" s="112"/>
      <c r="H79" s="112"/>
      <c r="I79" s="112"/>
      <c r="J79" s="114" t="s">
        <v>208</v>
      </c>
      <c r="K79" s="112">
        <v>624137</v>
      </c>
      <c r="L79" s="112">
        <v>224955</v>
      </c>
      <c r="M79" s="122" t="str">
        <f t="shared" si="10"/>
        <v>EFSI</v>
      </c>
      <c r="N79" s="266" t="s">
        <v>561</v>
      </c>
      <c r="O79" s="266"/>
      <c r="P79" s="266" t="s">
        <v>624</v>
      </c>
      <c r="Q79" s="266"/>
      <c r="R79" s="265">
        <v>92</v>
      </c>
      <c r="S79" s="278">
        <f t="shared" si="11"/>
        <v>302</v>
      </c>
      <c r="T79" s="119"/>
      <c r="U79" s="120"/>
      <c r="V79" s="123"/>
      <c r="W79" s="112"/>
      <c r="X79" s="112"/>
      <c r="Y79" s="112"/>
      <c r="AA79" s="112"/>
      <c r="AB79" s="112"/>
      <c r="AC79" s="122"/>
    </row>
    <row r="80" spans="1:29" ht="12.75">
      <c r="A80" s="118" t="s">
        <v>128</v>
      </c>
      <c r="B80" s="119" t="str">
        <f t="shared" si="12"/>
        <v>67</v>
      </c>
      <c r="C80" s="120">
        <f t="shared" si="13"/>
        <v>23.8</v>
      </c>
      <c r="D80" s="119" t="str">
        <f t="shared" si="14"/>
        <v>26</v>
      </c>
      <c r="E80" s="120">
        <f t="shared" si="15"/>
        <v>37.083333333333336</v>
      </c>
      <c r="F80" s="123" t="s">
        <v>319</v>
      </c>
      <c r="G80" s="112"/>
      <c r="H80" s="112"/>
      <c r="I80" s="112"/>
      <c r="J80" s="114" t="s">
        <v>209</v>
      </c>
      <c r="K80" s="112">
        <v>672348</v>
      </c>
      <c r="L80" s="112">
        <v>263705</v>
      </c>
      <c r="M80" s="122" t="str">
        <f t="shared" si="10"/>
        <v>EFSO</v>
      </c>
      <c r="N80" s="266" t="s">
        <v>611</v>
      </c>
      <c r="O80" s="266"/>
      <c r="P80" s="266" t="s">
        <v>606</v>
      </c>
      <c r="Q80" s="266"/>
      <c r="R80" s="265">
        <v>183</v>
      </c>
      <c r="S80" s="278">
        <f t="shared" si="11"/>
        <v>600</v>
      </c>
      <c r="T80" s="119"/>
      <c r="U80" s="120"/>
      <c r="V80" s="123"/>
      <c r="W80" s="112"/>
      <c r="X80" s="112"/>
      <c r="Y80" s="112"/>
      <c r="AA80" s="112"/>
      <c r="AB80" s="112"/>
      <c r="AC80" s="122"/>
    </row>
    <row r="81" spans="1:29" ht="12.75">
      <c r="A81" s="118" t="s">
        <v>129</v>
      </c>
      <c r="B81" s="119" t="str">
        <f t="shared" si="12"/>
        <v>64</v>
      </c>
      <c r="C81" s="120">
        <f t="shared" si="13"/>
        <v>49.31666666666667</v>
      </c>
      <c r="D81" s="119" t="str">
        <f t="shared" si="14"/>
        <v>28</v>
      </c>
      <c r="E81" s="120">
        <f t="shared" si="15"/>
        <v>42.61666666666667</v>
      </c>
      <c r="F81" s="123" t="s">
        <v>332</v>
      </c>
      <c r="G81" s="112"/>
      <c r="H81" s="112"/>
      <c r="I81" s="112"/>
      <c r="J81" s="114" t="s">
        <v>210</v>
      </c>
      <c r="K81" s="112">
        <v>644919</v>
      </c>
      <c r="L81" s="112">
        <v>284237</v>
      </c>
      <c r="M81" s="122" t="str">
        <f t="shared" si="10"/>
        <v>EFSU</v>
      </c>
      <c r="N81" s="266" t="s">
        <v>576</v>
      </c>
      <c r="O81" s="266"/>
      <c r="P81" s="266" t="s">
        <v>638</v>
      </c>
      <c r="Q81" s="266"/>
      <c r="R81" s="265">
        <v>165</v>
      </c>
      <c r="S81" s="278">
        <f t="shared" si="11"/>
        <v>541</v>
      </c>
      <c r="T81" s="119"/>
      <c r="U81" s="120"/>
      <c r="V81" s="123"/>
      <c r="W81" s="112"/>
      <c r="X81" s="112"/>
      <c r="Y81" s="112"/>
      <c r="AA81" s="112"/>
      <c r="AB81" s="112"/>
      <c r="AC81" s="122"/>
    </row>
    <row r="82" spans="1:29" ht="12.75">
      <c r="A82" s="118" t="s">
        <v>130</v>
      </c>
      <c r="B82" s="119" t="str">
        <f t="shared" si="12"/>
        <v>60</v>
      </c>
      <c r="C82" s="120">
        <f t="shared" si="13"/>
        <v>4.75</v>
      </c>
      <c r="D82" s="119" t="str">
        <f t="shared" si="14"/>
        <v>24</v>
      </c>
      <c r="E82" s="120">
        <f t="shared" si="15"/>
        <v>10.333333333333334</v>
      </c>
      <c r="F82" s="123" t="s">
        <v>334</v>
      </c>
      <c r="G82" s="112"/>
      <c r="H82" s="112"/>
      <c r="I82" s="112"/>
      <c r="J82" s="114" t="s">
        <v>211</v>
      </c>
      <c r="K82" s="112">
        <v>600445</v>
      </c>
      <c r="L82" s="112">
        <v>241020</v>
      </c>
      <c r="M82" s="122" t="str">
        <f t="shared" si="10"/>
        <v>EFTO</v>
      </c>
      <c r="N82" s="266" t="s">
        <v>592</v>
      </c>
      <c r="O82" s="266"/>
      <c r="P82" s="266" t="s">
        <v>639</v>
      </c>
      <c r="Q82" s="266"/>
      <c r="R82" s="265">
        <v>5</v>
      </c>
      <c r="S82" s="278">
        <f t="shared" si="11"/>
        <v>16</v>
      </c>
      <c r="T82" s="119"/>
      <c r="U82" s="120"/>
      <c r="V82" s="123"/>
      <c r="W82" s="112"/>
      <c r="X82" s="112"/>
      <c r="Y82" s="112"/>
      <c r="AA82" s="112"/>
      <c r="AB82" s="112"/>
      <c r="AC82" s="122"/>
    </row>
    <row r="83" spans="1:29" ht="12.75">
      <c r="A83" s="118" t="s">
        <v>131</v>
      </c>
      <c r="B83" s="119" t="str">
        <f t="shared" si="12"/>
        <v>61</v>
      </c>
      <c r="C83" s="120">
        <f t="shared" si="13"/>
        <v>24.916666666666668</v>
      </c>
      <c r="D83" s="119" t="str">
        <f t="shared" si="14"/>
        <v>23</v>
      </c>
      <c r="E83" s="120">
        <f t="shared" si="15"/>
        <v>35.266666666666666</v>
      </c>
      <c r="F83" s="123" t="s">
        <v>314</v>
      </c>
      <c r="G83" s="112"/>
      <c r="H83" s="112" t="s">
        <v>320</v>
      </c>
      <c r="I83" s="112" t="s">
        <v>321</v>
      </c>
      <c r="J83" s="114" t="s">
        <v>212</v>
      </c>
      <c r="K83" s="112">
        <v>612455</v>
      </c>
      <c r="L83" s="112">
        <v>233516</v>
      </c>
      <c r="M83" s="122" t="str">
        <f t="shared" si="10"/>
        <v>EFTP</v>
      </c>
      <c r="N83" s="266" t="s">
        <v>578</v>
      </c>
      <c r="O83" s="266"/>
      <c r="P83" s="266" t="s">
        <v>672</v>
      </c>
      <c r="Q83" s="266"/>
      <c r="R83" s="265">
        <v>119</v>
      </c>
      <c r="S83" s="278">
        <f t="shared" si="11"/>
        <v>390</v>
      </c>
      <c r="T83" s="119"/>
      <c r="U83" s="120"/>
      <c r="V83" s="123"/>
      <c r="W83" s="112"/>
      <c r="X83" s="112"/>
      <c r="Y83" s="112"/>
      <c r="AA83" s="112"/>
      <c r="AB83" s="112"/>
      <c r="AC83" s="122"/>
    </row>
    <row r="84" spans="1:29" ht="12.75">
      <c r="A84" s="118" t="s">
        <v>132</v>
      </c>
      <c r="B84" s="119" t="str">
        <f t="shared" si="12"/>
        <v>61</v>
      </c>
      <c r="C84" s="120">
        <f t="shared" si="13"/>
        <v>46.38333333333333</v>
      </c>
      <c r="D84" s="119" t="str">
        <f t="shared" si="14"/>
        <v>24</v>
      </c>
      <c r="E84" s="120">
        <f t="shared" si="15"/>
        <v>1.5166666666666666</v>
      </c>
      <c r="F84" s="123" t="s">
        <v>248</v>
      </c>
      <c r="G84" s="112"/>
      <c r="H84" s="112"/>
      <c r="I84" s="112"/>
      <c r="J84" s="114" t="s">
        <v>213</v>
      </c>
      <c r="K84" s="112">
        <v>614623</v>
      </c>
      <c r="L84" s="112">
        <v>240131</v>
      </c>
      <c r="M84" s="122" t="str">
        <f t="shared" si="10"/>
        <v>EFTS</v>
      </c>
      <c r="N84" s="266" t="s">
        <v>576</v>
      </c>
      <c r="O84" s="266"/>
      <c r="P84" s="266" t="s">
        <v>618</v>
      </c>
      <c r="Q84" s="266"/>
      <c r="R84" s="265">
        <v>157</v>
      </c>
      <c r="S84" s="278">
        <f t="shared" si="11"/>
        <v>515</v>
      </c>
      <c r="T84" s="119"/>
      <c r="U84" s="120"/>
      <c r="V84" s="123"/>
      <c r="W84" s="112"/>
      <c r="X84" s="112"/>
      <c r="Y84" s="112"/>
      <c r="AA84" s="112"/>
      <c r="AB84" s="112"/>
      <c r="AC84" s="122"/>
    </row>
    <row r="85" spans="1:29" ht="12.75">
      <c r="A85" s="118" t="s">
        <v>133</v>
      </c>
      <c r="B85" s="119" t="str">
        <f t="shared" si="12"/>
        <v>60</v>
      </c>
      <c r="C85" s="120">
        <f t="shared" si="13"/>
        <v>30.883333333333333</v>
      </c>
      <c r="D85" s="119" t="str">
        <f t="shared" si="14"/>
        <v>22</v>
      </c>
      <c r="E85" s="120">
        <f t="shared" si="15"/>
        <v>15.7</v>
      </c>
      <c r="F85" s="123" t="s">
        <v>322</v>
      </c>
      <c r="G85" s="112"/>
      <c r="H85" s="112"/>
      <c r="I85" s="112" t="s">
        <v>323</v>
      </c>
      <c r="J85" s="114" t="s">
        <v>214</v>
      </c>
      <c r="K85" s="112">
        <v>603053</v>
      </c>
      <c r="L85" s="112">
        <v>221542</v>
      </c>
      <c r="M85" s="122" t="str">
        <f t="shared" si="10"/>
        <v>EFTU</v>
      </c>
      <c r="N85" s="266" t="s">
        <v>569</v>
      </c>
      <c r="O85" s="266"/>
      <c r="P85" s="266" t="s">
        <v>661</v>
      </c>
      <c r="Q85" s="266"/>
      <c r="R85" s="265">
        <v>49</v>
      </c>
      <c r="S85" s="278">
        <f t="shared" si="11"/>
        <v>161</v>
      </c>
      <c r="T85" s="119"/>
      <c r="U85" s="120"/>
      <c r="V85" s="123"/>
      <c r="W85" s="112"/>
      <c r="X85" s="112"/>
      <c r="Y85" s="112"/>
      <c r="AA85" s="112"/>
      <c r="AB85" s="112"/>
      <c r="AC85" s="122"/>
    </row>
    <row r="86" spans="1:29" ht="12.75">
      <c r="A86" s="118" t="s">
        <v>134</v>
      </c>
      <c r="B86" s="119" t="str">
        <f t="shared" si="12"/>
        <v>60</v>
      </c>
      <c r="C86" s="120">
        <f t="shared" si="13"/>
        <v>53.78333333333333</v>
      </c>
      <c r="D86" s="119" t="str">
        <f t="shared" si="14"/>
        <v>26</v>
      </c>
      <c r="E86" s="120">
        <f t="shared" si="15"/>
        <v>56.28333333333333</v>
      </c>
      <c r="F86" s="123" t="s">
        <v>324</v>
      </c>
      <c r="G86" s="112"/>
      <c r="H86" s="112"/>
      <c r="I86" s="112" t="s">
        <v>828</v>
      </c>
      <c r="J86" s="114" t="s">
        <v>215</v>
      </c>
      <c r="K86" s="112">
        <v>605347</v>
      </c>
      <c r="L86" s="112">
        <v>265617</v>
      </c>
      <c r="M86" s="122" t="str">
        <f t="shared" si="10"/>
        <v>EFUT</v>
      </c>
      <c r="N86" s="266" t="s">
        <v>574</v>
      </c>
      <c r="O86" s="266"/>
      <c r="P86" s="266" t="s">
        <v>624</v>
      </c>
      <c r="Q86" s="266"/>
      <c r="R86" s="265">
        <v>103</v>
      </c>
      <c r="S86" s="278">
        <f t="shared" si="11"/>
        <v>338</v>
      </c>
      <c r="T86" s="119"/>
      <c r="U86" s="120"/>
      <c r="V86" s="123"/>
      <c r="W86" s="112"/>
      <c r="X86" s="112"/>
      <c r="Y86" s="112"/>
      <c r="AA86" s="112"/>
      <c r="AB86" s="112"/>
      <c r="AC86" s="122"/>
    </row>
    <row r="87" spans="1:29" ht="12.75">
      <c r="A87" s="118" t="s">
        <v>135</v>
      </c>
      <c r="B87" s="119" t="str">
        <f t="shared" si="12"/>
        <v>63</v>
      </c>
      <c r="C87" s="120">
        <f t="shared" si="13"/>
        <v>2.716666666666667</v>
      </c>
      <c r="D87" s="119" t="str">
        <f t="shared" si="14"/>
        <v>21</v>
      </c>
      <c r="E87" s="120">
        <f t="shared" si="15"/>
        <v>45.85</v>
      </c>
      <c r="F87" s="123" t="s">
        <v>701</v>
      </c>
      <c r="G87" s="112"/>
      <c r="H87" s="112"/>
      <c r="I87" s="112" t="s">
        <v>829</v>
      </c>
      <c r="J87" s="114" t="s">
        <v>216</v>
      </c>
      <c r="K87" s="112">
        <v>630243</v>
      </c>
      <c r="L87" s="112">
        <v>214551</v>
      </c>
      <c r="M87" s="122" t="str">
        <f t="shared" si="10"/>
        <v>EFVA</v>
      </c>
      <c r="N87" s="266" t="s">
        <v>611</v>
      </c>
      <c r="O87" s="266"/>
      <c r="P87" s="266" t="s">
        <v>673</v>
      </c>
      <c r="Q87" s="266"/>
      <c r="R87" s="265">
        <v>6</v>
      </c>
      <c r="S87" s="278">
        <f t="shared" si="11"/>
        <v>20</v>
      </c>
      <c r="T87" s="119"/>
      <c r="U87" s="120"/>
      <c r="V87" s="123"/>
      <c r="W87" s="112"/>
      <c r="X87" s="112"/>
      <c r="Y87" s="112"/>
      <c r="AA87" s="112"/>
      <c r="AB87" s="112"/>
      <c r="AC87" s="122"/>
    </row>
    <row r="88" spans="1:29" ht="12.75">
      <c r="A88" s="118" t="s">
        <v>141</v>
      </c>
      <c r="B88" s="119" t="str">
        <f t="shared" si="12"/>
        <v>60</v>
      </c>
      <c r="C88" s="120">
        <f t="shared" si="13"/>
        <v>39.81666666666667</v>
      </c>
      <c r="D88" s="119" t="str">
        <f t="shared" si="14"/>
        <v>26</v>
      </c>
      <c r="E88" s="120">
        <f t="shared" si="15"/>
        <v>44.75</v>
      </c>
      <c r="F88" s="123" t="s">
        <v>333</v>
      </c>
      <c r="G88" s="112"/>
      <c r="H88" s="112"/>
      <c r="I88" s="112"/>
      <c r="J88" s="114" t="s">
        <v>217</v>
      </c>
      <c r="K88" s="112">
        <v>603949</v>
      </c>
      <c r="L88" s="112">
        <v>264445</v>
      </c>
      <c r="M88" s="122" t="str">
        <f t="shared" si="10"/>
        <v>EFWB</v>
      </c>
      <c r="N88" s="266" t="s">
        <v>574</v>
      </c>
      <c r="O88" s="266"/>
      <c r="P88" s="266" t="s">
        <v>643</v>
      </c>
      <c r="Q88" s="266"/>
      <c r="R88" s="265">
        <v>25</v>
      </c>
      <c r="S88" s="278">
        <f t="shared" si="11"/>
        <v>82</v>
      </c>
      <c r="T88" s="119"/>
      <c r="U88" s="120"/>
      <c r="V88" s="123"/>
      <c r="W88" s="112"/>
      <c r="X88" s="112"/>
      <c r="Y88" s="112"/>
      <c r="AA88" s="112"/>
      <c r="AB88" s="112"/>
      <c r="AC88" s="122"/>
    </row>
    <row r="89" spans="1:29" ht="12.75">
      <c r="A89" s="118" t="s">
        <v>136</v>
      </c>
      <c r="B89" s="119" t="str">
        <f t="shared" si="12"/>
        <v>63</v>
      </c>
      <c r="C89" s="120">
        <f t="shared" si="13"/>
        <v>7.35</v>
      </c>
      <c r="D89" s="119" t="str">
        <f t="shared" si="14"/>
        <v>25</v>
      </c>
      <c r="E89" s="120">
        <f t="shared" si="15"/>
        <v>48.96666666666667</v>
      </c>
      <c r="F89" s="123" t="s">
        <v>332</v>
      </c>
      <c r="G89" s="112"/>
      <c r="H89" s="112"/>
      <c r="I89" s="112"/>
      <c r="J89" s="114" t="s">
        <v>218</v>
      </c>
      <c r="K89" s="112">
        <v>630721</v>
      </c>
      <c r="L89" s="112">
        <v>254858</v>
      </c>
      <c r="M89" s="122" t="str">
        <f t="shared" si="10"/>
        <v>EFVI</v>
      </c>
      <c r="N89" s="266" t="s">
        <v>611</v>
      </c>
      <c r="O89" s="266"/>
      <c r="P89" s="266" t="s">
        <v>642</v>
      </c>
      <c r="Q89" s="266"/>
      <c r="R89" s="265">
        <v>110</v>
      </c>
      <c r="S89" s="278">
        <f t="shared" si="11"/>
        <v>361</v>
      </c>
      <c r="T89" s="119"/>
      <c r="U89" s="120"/>
      <c r="V89" s="123"/>
      <c r="W89" s="112"/>
      <c r="X89" s="112"/>
      <c r="Y89" s="112"/>
      <c r="AA89" s="112"/>
      <c r="AB89" s="112"/>
      <c r="AC89" s="122"/>
    </row>
    <row r="90" spans="1:29" ht="12.75">
      <c r="A90" s="118" t="s">
        <v>137</v>
      </c>
      <c r="B90" s="119" t="str">
        <f t="shared" si="12"/>
        <v>64</v>
      </c>
      <c r="C90" s="120">
        <f t="shared" si="13"/>
        <v>30.116666666666667</v>
      </c>
      <c r="D90" s="119" t="str">
        <f t="shared" si="14"/>
        <v>26</v>
      </c>
      <c r="E90" s="120">
        <f t="shared" si="15"/>
        <v>45.6</v>
      </c>
      <c r="F90" s="123" t="s">
        <v>332</v>
      </c>
      <c r="G90" s="112"/>
      <c r="H90" s="112"/>
      <c r="I90" s="112"/>
      <c r="J90" s="114" t="s">
        <v>219</v>
      </c>
      <c r="K90" s="112">
        <v>643007</v>
      </c>
      <c r="L90" s="112">
        <v>264536</v>
      </c>
      <c r="M90" s="122" t="str">
        <f t="shared" si="10"/>
        <v>EFVL</v>
      </c>
      <c r="N90" s="266" t="s">
        <v>592</v>
      </c>
      <c r="O90" s="266"/>
      <c r="P90" s="266" t="s">
        <v>638</v>
      </c>
      <c r="Q90" s="266"/>
      <c r="R90" s="265">
        <v>135</v>
      </c>
      <c r="S90" s="278">
        <f t="shared" si="11"/>
        <v>443</v>
      </c>
      <c r="T90" s="119"/>
      <c r="U90" s="120"/>
      <c r="V90" s="123"/>
      <c r="W90" s="112"/>
      <c r="X90" s="112"/>
      <c r="Y90" s="112"/>
      <c r="AA90" s="112"/>
      <c r="AB90" s="112"/>
      <c r="AC90" s="122"/>
    </row>
    <row r="91" spans="1:29" ht="12.75">
      <c r="A91" s="118" t="s">
        <v>273</v>
      </c>
      <c r="B91" s="119" t="str">
        <f t="shared" si="12"/>
        <v>61</v>
      </c>
      <c r="C91" s="120">
        <f t="shared" si="13"/>
        <v>2.3833333333333333</v>
      </c>
      <c r="D91" s="119" t="str">
        <f t="shared" si="14"/>
        <v>22</v>
      </c>
      <c r="E91" s="120">
        <f t="shared" si="15"/>
        <v>35.5</v>
      </c>
      <c r="F91" s="112" t="s">
        <v>333</v>
      </c>
      <c r="G91" s="112"/>
      <c r="H91" s="112"/>
      <c r="I91" s="112"/>
      <c r="J91" s="114" t="s">
        <v>261</v>
      </c>
      <c r="K91" s="112">
        <v>610223</v>
      </c>
      <c r="L91" s="112">
        <v>223530</v>
      </c>
      <c r="M91" s="122" t="str">
        <f t="shared" si="10"/>
        <v>EFVP</v>
      </c>
      <c r="N91" s="266" t="s">
        <v>640</v>
      </c>
      <c r="O91" s="266"/>
      <c r="P91" s="266" t="s">
        <v>641</v>
      </c>
      <c r="Q91" s="266"/>
      <c r="R91" s="265">
        <v>90</v>
      </c>
      <c r="S91" s="278">
        <f t="shared" si="11"/>
        <v>295</v>
      </c>
      <c r="T91" s="119"/>
      <c r="U91" s="120"/>
      <c r="V91" s="112"/>
      <c r="W91" s="112"/>
      <c r="X91" s="112"/>
      <c r="Y91" s="112"/>
      <c r="AA91" s="112"/>
      <c r="AB91" s="112"/>
      <c r="AC91" s="122"/>
    </row>
    <row r="92" spans="1:29" ht="12.75">
      <c r="A92" s="118" t="s">
        <v>138</v>
      </c>
      <c r="B92" s="119" t="str">
        <f t="shared" si="12"/>
        <v>62</v>
      </c>
      <c r="C92" s="120">
        <f t="shared" si="13"/>
        <v>10.266666666666667</v>
      </c>
      <c r="D92" s="119" t="str">
        <f t="shared" si="14"/>
        <v>27</v>
      </c>
      <c r="E92" s="120">
        <f t="shared" si="15"/>
        <v>52.11666666666667</v>
      </c>
      <c r="F92" s="123" t="s">
        <v>306</v>
      </c>
      <c r="G92" s="112"/>
      <c r="H92" s="112"/>
      <c r="I92" s="112" t="s">
        <v>389</v>
      </c>
      <c r="J92" s="114" t="s">
        <v>220</v>
      </c>
      <c r="K92" s="112">
        <v>621016</v>
      </c>
      <c r="L92" s="112">
        <v>275207</v>
      </c>
      <c r="M92" s="122" t="str">
        <f t="shared" si="10"/>
        <v>EFVR</v>
      </c>
      <c r="N92" s="266" t="s">
        <v>561</v>
      </c>
      <c r="O92" s="266"/>
      <c r="P92" s="266" t="s">
        <v>624</v>
      </c>
      <c r="Q92" s="266"/>
      <c r="R92" s="265">
        <v>87</v>
      </c>
      <c r="S92" s="278">
        <f t="shared" si="11"/>
        <v>285</v>
      </c>
      <c r="T92" s="119"/>
      <c r="U92" s="120"/>
      <c r="V92" s="123"/>
      <c r="W92" s="112"/>
      <c r="X92" s="112"/>
      <c r="Y92" s="112"/>
      <c r="AA92" s="112"/>
      <c r="AB92" s="112"/>
      <c r="AC92" s="122"/>
    </row>
    <row r="93" spans="1:29" ht="12.75">
      <c r="A93" s="118" t="s">
        <v>139</v>
      </c>
      <c r="B93" s="119" t="str">
        <f t="shared" si="12"/>
        <v>63</v>
      </c>
      <c r="C93" s="120">
        <f t="shared" si="13"/>
        <v>23.866666666666667</v>
      </c>
      <c r="D93" s="119" t="str">
        <f t="shared" si="14"/>
        <v>24</v>
      </c>
      <c r="E93" s="120">
        <f t="shared" si="15"/>
        <v>1.8333333333333335</v>
      </c>
      <c r="F93" s="123" t="s">
        <v>332</v>
      </c>
      <c r="G93" s="112"/>
      <c r="H93" s="112"/>
      <c r="I93" s="112"/>
      <c r="J93" s="114" t="s">
        <v>221</v>
      </c>
      <c r="K93" s="112">
        <v>632352</v>
      </c>
      <c r="L93" s="112">
        <v>240150</v>
      </c>
      <c r="M93" s="122" t="str">
        <f aca="true" t="shared" si="16" ref="M93:M105">A93</f>
        <v>EFVT</v>
      </c>
      <c r="N93" s="266" t="s">
        <v>569</v>
      </c>
      <c r="O93" s="266"/>
      <c r="P93" s="266" t="s">
        <v>637</v>
      </c>
      <c r="Q93" s="266"/>
      <c r="R93" s="265">
        <v>122</v>
      </c>
      <c r="S93" s="278">
        <f t="shared" si="11"/>
        <v>400</v>
      </c>
      <c r="T93" s="119"/>
      <c r="U93" s="120"/>
      <c r="V93" s="123"/>
      <c r="W93" s="112"/>
      <c r="X93" s="112"/>
      <c r="Y93" s="112"/>
      <c r="AA93" s="112"/>
      <c r="AB93" s="112"/>
      <c r="AC93" s="122"/>
    </row>
    <row r="94" spans="1:29" ht="12.75">
      <c r="A94" s="118" t="s">
        <v>140</v>
      </c>
      <c r="B94" s="119" t="str">
        <f t="shared" si="12"/>
        <v>68</v>
      </c>
      <c r="C94" s="120">
        <f t="shared" si="13"/>
        <v>5.233333333333333</v>
      </c>
      <c r="D94" s="119" t="str">
        <f t="shared" si="14"/>
        <v>27</v>
      </c>
      <c r="E94" s="120">
        <f t="shared" si="15"/>
        <v>7.433333333333334</v>
      </c>
      <c r="F94" s="123" t="s">
        <v>332</v>
      </c>
      <c r="G94" s="112"/>
      <c r="H94" s="112"/>
      <c r="I94" s="112"/>
      <c r="J94" s="114" t="s">
        <v>222</v>
      </c>
      <c r="K94" s="112">
        <v>680514</v>
      </c>
      <c r="L94" s="112">
        <v>270726</v>
      </c>
      <c r="M94" s="122" t="str">
        <f t="shared" si="16"/>
        <v>EFVU</v>
      </c>
      <c r="N94" s="266" t="s">
        <v>602</v>
      </c>
      <c r="O94" s="266"/>
      <c r="P94" s="266" t="s">
        <v>648</v>
      </c>
      <c r="Q94" s="266"/>
      <c r="R94" s="265">
        <v>260</v>
      </c>
      <c r="S94" s="278">
        <f t="shared" si="11"/>
        <v>853</v>
      </c>
      <c r="T94" s="119"/>
      <c r="U94" s="120"/>
      <c r="V94" s="123"/>
      <c r="W94" s="112"/>
      <c r="X94" s="112"/>
      <c r="Y94" s="112"/>
      <c r="AA94" s="112"/>
      <c r="AB94" s="112"/>
      <c r="AC94" s="122"/>
    </row>
    <row r="95" spans="1:29" ht="12.75">
      <c r="A95" s="118" t="s">
        <v>142</v>
      </c>
      <c r="B95" s="119" t="str">
        <f t="shared" si="12"/>
        <v>64</v>
      </c>
      <c r="C95" s="120">
        <f t="shared" si="13"/>
        <v>3.283333333333333</v>
      </c>
      <c r="D95" s="119" t="str">
        <f t="shared" si="14"/>
        <v>24</v>
      </c>
      <c r="E95" s="120">
        <f t="shared" si="15"/>
        <v>43.516666666666666</v>
      </c>
      <c r="F95" s="123" t="s">
        <v>326</v>
      </c>
      <c r="G95" s="112"/>
      <c r="H95" s="112"/>
      <c r="I95" s="112"/>
      <c r="J95" s="114" t="s">
        <v>223</v>
      </c>
      <c r="K95" s="112">
        <v>640317</v>
      </c>
      <c r="L95" s="112">
        <v>244331</v>
      </c>
      <c r="M95" s="122" t="str">
        <f t="shared" si="16"/>
        <v>EFYL</v>
      </c>
      <c r="N95" s="266" t="s">
        <v>595</v>
      </c>
      <c r="O95" s="266"/>
      <c r="P95" s="266" t="s">
        <v>606</v>
      </c>
      <c r="Q95" s="266"/>
      <c r="R95" s="265">
        <v>77</v>
      </c>
      <c r="S95" s="278">
        <f t="shared" si="11"/>
        <v>253</v>
      </c>
      <c r="T95" s="119"/>
      <c r="U95" s="120"/>
      <c r="V95" s="123"/>
      <c r="W95" s="112"/>
      <c r="X95" s="112"/>
      <c r="Y95" s="112"/>
      <c r="AA95" s="112"/>
      <c r="AB95" s="112"/>
      <c r="AC95" s="122"/>
    </row>
    <row r="96" spans="1:29" ht="12.75">
      <c r="A96" s="118" t="s">
        <v>706</v>
      </c>
      <c r="B96" s="119">
        <v>61</v>
      </c>
      <c r="C96" s="120">
        <v>23.9</v>
      </c>
      <c r="D96" s="119">
        <v>23</v>
      </c>
      <c r="E96" s="120">
        <v>2.9</v>
      </c>
      <c r="F96" s="114" t="s">
        <v>705</v>
      </c>
      <c r="J96" s="114" t="s">
        <v>706</v>
      </c>
      <c r="K96" s="112">
        <v>612354</v>
      </c>
      <c r="L96" s="112">
        <v>23258</v>
      </c>
      <c r="M96" s="122" t="str">
        <f>A96</f>
        <v>ELLIVUORI</v>
      </c>
      <c r="N96" s="266"/>
      <c r="O96" s="266"/>
      <c r="P96" s="266"/>
      <c r="Q96" s="266"/>
      <c r="R96" s="265"/>
      <c r="S96" s="278"/>
      <c r="T96" s="119"/>
      <c r="U96" s="120"/>
      <c r="V96" s="123"/>
      <c r="W96" s="112"/>
      <c r="X96" s="112"/>
      <c r="Y96" s="112"/>
      <c r="AA96" s="112"/>
      <c r="AB96" s="112"/>
      <c r="AC96" s="122"/>
    </row>
    <row r="97" spans="1:29" ht="12.75">
      <c r="A97" s="118" t="s">
        <v>752</v>
      </c>
      <c r="B97" s="119" t="str">
        <f t="shared" si="12"/>
        <v>63</v>
      </c>
      <c r="C97" s="120">
        <v>37.5</v>
      </c>
      <c r="D97" s="119" t="str">
        <f t="shared" si="14"/>
        <v>23</v>
      </c>
      <c r="E97" s="120">
        <v>23.3</v>
      </c>
      <c r="F97" s="123" t="s">
        <v>302</v>
      </c>
      <c r="G97" s="112"/>
      <c r="H97" s="112"/>
      <c r="I97" s="112"/>
      <c r="J97" s="114" t="s">
        <v>143</v>
      </c>
      <c r="K97" s="112">
        <v>633729</v>
      </c>
      <c r="L97" s="112">
        <v>232318</v>
      </c>
      <c r="M97" s="122" t="str">
        <f t="shared" si="16"/>
        <v>EMMET (EFKK)</v>
      </c>
      <c r="N97" s="266" t="s">
        <v>578</v>
      </c>
      <c r="O97" s="266"/>
      <c r="P97" s="266" t="s">
        <v>677</v>
      </c>
      <c r="Q97" s="266"/>
      <c r="R97" s="265">
        <v>15</v>
      </c>
      <c r="S97" s="278">
        <f>ROUND((R97*3.2808399),0)</f>
        <v>49</v>
      </c>
      <c r="T97" s="119"/>
      <c r="U97" s="120"/>
      <c r="V97" s="112"/>
      <c r="W97" s="112"/>
      <c r="AA97" s="112"/>
      <c r="AB97" s="112"/>
      <c r="AC97" s="122"/>
    </row>
    <row r="98" spans="1:29" ht="12.75">
      <c r="A98" s="118" t="s">
        <v>756</v>
      </c>
      <c r="B98" s="119">
        <v>62</v>
      </c>
      <c r="C98" s="120">
        <v>46.4</v>
      </c>
      <c r="D98" s="119" t="str">
        <f t="shared" si="14"/>
        <v>27</v>
      </c>
      <c r="E98" s="120">
        <v>43.1</v>
      </c>
      <c r="F98" s="123" t="s">
        <v>303</v>
      </c>
      <c r="G98" s="112"/>
      <c r="H98" s="112"/>
      <c r="I98" s="112"/>
      <c r="J98" s="114" t="s">
        <v>180</v>
      </c>
      <c r="K98" s="112">
        <v>624622</v>
      </c>
      <c r="L98" s="112">
        <v>274304</v>
      </c>
      <c r="M98" s="122" t="str">
        <f t="shared" si="16"/>
        <v>KARJU (EFKU)</v>
      </c>
      <c r="N98" s="266"/>
      <c r="O98" s="266"/>
      <c r="P98" s="266"/>
      <c r="Q98" s="266"/>
      <c r="R98" s="265"/>
      <c r="S98" s="278"/>
      <c r="T98" s="119"/>
      <c r="U98" s="120"/>
      <c r="V98" s="121"/>
      <c r="W98" s="112"/>
      <c r="X98" s="112"/>
      <c r="Y98" s="112"/>
      <c r="AA98" s="112"/>
      <c r="AB98" s="112"/>
      <c r="AC98" s="122"/>
    </row>
    <row r="99" spans="1:29" ht="12.75">
      <c r="A99" s="118" t="s">
        <v>265</v>
      </c>
      <c r="B99" s="119" t="str">
        <f t="shared" si="12"/>
        <v>60</v>
      </c>
      <c r="C99" s="120">
        <f t="shared" si="13"/>
        <v>12.516666666666667</v>
      </c>
      <c r="D99" s="119" t="str">
        <f t="shared" si="14"/>
        <v>24</v>
      </c>
      <c r="E99" s="120">
        <f t="shared" si="15"/>
        <v>54</v>
      </c>
      <c r="F99" s="121" t="s">
        <v>285</v>
      </c>
      <c r="G99" s="112"/>
      <c r="H99" s="112"/>
      <c r="I99" s="112"/>
      <c r="J99" s="114" t="s">
        <v>61</v>
      </c>
      <c r="K99" s="112">
        <v>601231</v>
      </c>
      <c r="L99" s="112">
        <v>245400</v>
      </c>
      <c r="M99" s="122" t="str">
        <f t="shared" si="16"/>
        <v>HAGIS (EFHK)</v>
      </c>
      <c r="N99" s="266"/>
      <c r="O99" s="266"/>
      <c r="P99" s="266"/>
      <c r="Q99" s="266"/>
      <c r="R99" s="265"/>
      <c r="S99" s="278"/>
      <c r="T99" s="119"/>
      <c r="U99" s="120"/>
      <c r="V99" s="121"/>
      <c r="W99" s="112"/>
      <c r="X99" s="112"/>
      <c r="Y99" s="112"/>
      <c r="AA99" s="112"/>
      <c r="AB99" s="112"/>
      <c r="AC99" s="122"/>
    </row>
    <row r="100" spans="1:29" ht="12.75">
      <c r="A100" s="118" t="s">
        <v>266</v>
      </c>
      <c r="B100" s="119" t="str">
        <f t="shared" si="12"/>
        <v>60</v>
      </c>
      <c r="C100" s="120">
        <f t="shared" si="13"/>
        <v>16.716666666666665</v>
      </c>
      <c r="D100" s="119" t="str">
        <f t="shared" si="14"/>
        <v>25</v>
      </c>
      <c r="E100" s="120">
        <f t="shared" si="15"/>
        <v>5.5</v>
      </c>
      <c r="F100" s="121" t="s">
        <v>281</v>
      </c>
      <c r="G100" s="112"/>
      <c r="H100" s="112"/>
      <c r="I100" s="112"/>
      <c r="J100" s="114" t="s">
        <v>59</v>
      </c>
      <c r="K100" s="112">
        <v>601643</v>
      </c>
      <c r="L100" s="112">
        <v>250530</v>
      </c>
      <c r="M100" s="122" t="str">
        <f t="shared" si="16"/>
        <v>HAKKI (EFHF)</v>
      </c>
      <c r="N100" s="266"/>
      <c r="O100" s="266"/>
      <c r="P100" s="266"/>
      <c r="Q100" s="266"/>
      <c r="R100" s="265"/>
      <c r="S100" s="278"/>
      <c r="T100" s="119"/>
      <c r="U100" s="120"/>
      <c r="V100" s="121"/>
      <c r="W100" s="112"/>
      <c r="X100" s="112"/>
      <c r="Y100" s="112"/>
      <c r="AA100" s="112"/>
      <c r="AB100" s="112"/>
      <c r="AC100" s="122"/>
    </row>
    <row r="101" spans="1:29" ht="12.75">
      <c r="A101" s="118" t="s">
        <v>274</v>
      </c>
      <c r="B101" s="119" t="str">
        <f t="shared" si="12"/>
        <v>60</v>
      </c>
      <c r="C101" s="120">
        <f t="shared" si="13"/>
        <v>16.716666666666665</v>
      </c>
      <c r="D101" s="119" t="str">
        <f t="shared" si="14"/>
        <v>25</v>
      </c>
      <c r="E101" s="120">
        <f t="shared" si="15"/>
        <v>5.5</v>
      </c>
      <c r="F101" s="121" t="s">
        <v>285</v>
      </c>
      <c r="G101" s="112"/>
      <c r="H101" s="112"/>
      <c r="I101" s="112"/>
      <c r="J101" s="114" t="s">
        <v>61</v>
      </c>
      <c r="K101" s="112">
        <v>601643</v>
      </c>
      <c r="L101" s="112">
        <v>250530</v>
      </c>
      <c r="M101" s="122" t="str">
        <f t="shared" si="16"/>
        <v>HAKKI (EFHK)</v>
      </c>
      <c r="N101" s="266"/>
      <c r="O101" s="266"/>
      <c r="P101" s="266"/>
      <c r="Q101" s="266"/>
      <c r="R101" s="265"/>
      <c r="S101" s="278"/>
      <c r="T101" s="119"/>
      <c r="U101" s="120"/>
      <c r="V101" s="123"/>
      <c r="W101" s="112"/>
      <c r="X101" s="112"/>
      <c r="Y101" s="112"/>
      <c r="AA101" s="112"/>
      <c r="AB101" s="112"/>
      <c r="AC101" s="122"/>
    </row>
    <row r="102" spans="1:29" ht="12.75">
      <c r="A102" s="118" t="s">
        <v>798</v>
      </c>
      <c r="B102" s="119" t="str">
        <f t="shared" si="12"/>
        <v>60</v>
      </c>
      <c r="C102" s="120">
        <v>23.9</v>
      </c>
      <c r="D102" s="119">
        <v>22</v>
      </c>
      <c r="E102" s="120">
        <v>30.4</v>
      </c>
      <c r="F102" s="123" t="s">
        <v>322</v>
      </c>
      <c r="G102" s="112"/>
      <c r="H102" s="112"/>
      <c r="I102" s="112"/>
      <c r="J102" s="114" t="s">
        <v>214</v>
      </c>
      <c r="K102" s="112">
        <v>602356</v>
      </c>
      <c r="L102" s="112">
        <v>223023</v>
      </c>
      <c r="M102" s="122" t="str">
        <f t="shared" si="16"/>
        <v>HARVA (EFTU)</v>
      </c>
      <c r="N102" s="266"/>
      <c r="O102" s="266"/>
      <c r="P102" s="266"/>
      <c r="Q102" s="266"/>
      <c r="R102" s="265"/>
      <c r="S102" s="278"/>
      <c r="T102" s="119"/>
      <c r="U102" s="120"/>
      <c r="V102" s="123"/>
      <c r="W102" s="112"/>
      <c r="X102" s="112"/>
      <c r="Y102" s="112"/>
      <c r="AA102" s="112"/>
      <c r="AB102" s="112"/>
      <c r="AC102" s="122"/>
    </row>
    <row r="103" spans="1:29" ht="12.75">
      <c r="A103" s="118" t="s">
        <v>819</v>
      </c>
      <c r="B103" s="119">
        <v>60</v>
      </c>
      <c r="C103" s="120">
        <v>4.3</v>
      </c>
      <c r="D103" s="119">
        <v>20</v>
      </c>
      <c r="E103" s="120">
        <v>7.6</v>
      </c>
      <c r="F103" s="123" t="s">
        <v>820</v>
      </c>
      <c r="G103" s="112"/>
      <c r="H103" s="112"/>
      <c r="I103" s="112"/>
      <c r="J103" s="114" t="s">
        <v>224</v>
      </c>
      <c r="K103" s="112">
        <v>600420</v>
      </c>
      <c r="L103" s="112">
        <v>200737</v>
      </c>
      <c r="M103" s="122" t="s">
        <v>819</v>
      </c>
      <c r="N103" s="266"/>
      <c r="O103" s="266"/>
      <c r="P103" s="266"/>
      <c r="Q103" s="266"/>
      <c r="R103" s="265"/>
      <c r="S103" s="278"/>
      <c r="T103" s="119"/>
      <c r="U103" s="120"/>
      <c r="V103" s="123"/>
      <c r="W103" s="112"/>
      <c r="X103" s="112"/>
      <c r="Y103" s="112"/>
      <c r="AA103" s="112"/>
      <c r="AB103" s="112"/>
      <c r="AC103" s="122"/>
    </row>
    <row r="104" spans="1:29" ht="12.75">
      <c r="A104" s="118" t="s">
        <v>769</v>
      </c>
      <c r="B104" s="119" t="str">
        <f t="shared" si="12"/>
        <v>60</v>
      </c>
      <c r="C104" s="120">
        <v>13.1</v>
      </c>
      <c r="D104" s="119" t="str">
        <f t="shared" si="14"/>
        <v>19</v>
      </c>
      <c r="E104" s="120">
        <v>42.6</v>
      </c>
      <c r="F104" s="123" t="s">
        <v>308</v>
      </c>
      <c r="G104" s="112"/>
      <c r="H104" s="112"/>
      <c r="I104" s="112"/>
      <c r="J104" s="114" t="s">
        <v>224</v>
      </c>
      <c r="K104" s="112">
        <v>601307</v>
      </c>
      <c r="L104" s="112">
        <v>194236</v>
      </c>
      <c r="M104" s="122" t="str">
        <f t="shared" si="10"/>
        <v>BROON (EFMA)</v>
      </c>
      <c r="N104" s="266"/>
      <c r="O104" s="266"/>
      <c r="P104" s="266"/>
      <c r="Q104" s="266"/>
      <c r="R104" s="265"/>
      <c r="S104" s="278"/>
      <c r="T104" s="119"/>
      <c r="U104" s="120"/>
      <c r="V104" s="123"/>
      <c r="W104" s="112"/>
      <c r="X104" s="112"/>
      <c r="Y104" s="112"/>
      <c r="AA104" s="112"/>
      <c r="AB104" s="112"/>
      <c r="AC104" s="122"/>
    </row>
    <row r="105" spans="1:29" ht="12.75">
      <c r="A105" s="118" t="s">
        <v>805</v>
      </c>
      <c r="B105" s="119" t="str">
        <f t="shared" si="12"/>
        <v>60</v>
      </c>
      <c r="C105" s="120">
        <v>59.3</v>
      </c>
      <c r="D105" s="119" t="str">
        <f t="shared" si="14"/>
        <v>26</v>
      </c>
      <c r="E105" s="120">
        <v>33.8</v>
      </c>
      <c r="F105" s="123" t="s">
        <v>324</v>
      </c>
      <c r="G105" s="112"/>
      <c r="H105" s="112"/>
      <c r="I105" s="112"/>
      <c r="J105" s="114" t="s">
        <v>215</v>
      </c>
      <c r="K105" s="112">
        <v>605919</v>
      </c>
      <c r="L105" s="112">
        <v>263351</v>
      </c>
      <c r="M105" s="122" t="str">
        <f t="shared" si="16"/>
        <v>ORAVA (EFUT)</v>
      </c>
      <c r="N105" s="266"/>
      <c r="O105" s="266"/>
      <c r="P105" s="266"/>
      <c r="Q105" s="266"/>
      <c r="R105" s="265"/>
      <c r="S105" s="278"/>
      <c r="T105" s="119"/>
      <c r="U105" s="120"/>
      <c r="V105" s="123"/>
      <c r="W105" s="112"/>
      <c r="X105" s="112"/>
      <c r="Y105" s="112"/>
      <c r="AA105" s="112"/>
      <c r="AB105" s="112"/>
      <c r="AC105" s="122"/>
    </row>
    <row r="106" spans="1:29" ht="12.75">
      <c r="A106" s="118" t="s">
        <v>378</v>
      </c>
      <c r="B106" s="119" t="str">
        <f t="shared" si="12"/>
        <v>61</v>
      </c>
      <c r="C106" s="120">
        <f t="shared" si="13"/>
        <v>11.5</v>
      </c>
      <c r="D106" s="119" t="str">
        <f t="shared" si="14"/>
        <v>24</v>
      </c>
      <c r="E106" s="120">
        <f t="shared" si="15"/>
        <v>34.5</v>
      </c>
      <c r="F106" s="112">
        <v>123.5</v>
      </c>
      <c r="K106" s="112">
        <v>611130</v>
      </c>
      <c r="L106" s="112">
        <v>243430</v>
      </c>
      <c r="M106" s="122" t="str">
        <f>A106</f>
        <v>HAUHO Iloranta</v>
      </c>
      <c r="N106" s="266"/>
      <c r="O106" s="266"/>
      <c r="P106" s="266"/>
      <c r="Q106" s="266"/>
      <c r="R106" s="265"/>
      <c r="S106" s="278"/>
      <c r="T106" s="119"/>
      <c r="U106" s="120"/>
      <c r="V106" s="112"/>
      <c r="AA106" s="112"/>
      <c r="AB106" s="112"/>
      <c r="AC106" s="122"/>
    </row>
    <row r="107" spans="1:29" ht="12.75">
      <c r="A107" s="118" t="s">
        <v>738</v>
      </c>
      <c r="B107" s="119" t="str">
        <f t="shared" si="12"/>
        <v>62</v>
      </c>
      <c r="C107" s="120">
        <v>34.4</v>
      </c>
      <c r="D107" s="119" t="str">
        <f t="shared" si="14"/>
        <v>25</v>
      </c>
      <c r="E107" s="120">
        <v>40.5</v>
      </c>
      <c r="F107" s="123" t="s">
        <v>291</v>
      </c>
      <c r="G107" s="112"/>
      <c r="H107" s="112"/>
      <c r="I107" s="112"/>
      <c r="J107" s="114" t="s">
        <v>245</v>
      </c>
      <c r="K107" s="112">
        <v>623426</v>
      </c>
      <c r="L107" s="112">
        <v>254030</v>
      </c>
      <c r="M107" s="122" t="str">
        <f t="shared" si="10"/>
        <v>HONKO /EFJY)</v>
      </c>
      <c r="N107" s="266"/>
      <c r="O107" s="266"/>
      <c r="P107" s="266"/>
      <c r="Q107" s="266"/>
      <c r="R107" s="265"/>
      <c r="S107" s="278"/>
      <c r="T107" s="119"/>
      <c r="U107" s="120"/>
      <c r="V107" s="123"/>
      <c r="W107" s="112"/>
      <c r="X107" s="112"/>
      <c r="Y107" s="112"/>
      <c r="AA107" s="112"/>
      <c r="AB107" s="112"/>
      <c r="AC107" s="122"/>
    </row>
    <row r="108" spans="1:29" ht="12.75">
      <c r="A108" s="118" t="s">
        <v>771</v>
      </c>
      <c r="B108" s="119" t="str">
        <f t="shared" si="12"/>
        <v>61</v>
      </c>
      <c r="C108" s="120">
        <v>48</v>
      </c>
      <c r="D108" s="119" t="str">
        <f t="shared" si="14"/>
        <v>27</v>
      </c>
      <c r="E108" s="120">
        <v>18.5</v>
      </c>
      <c r="F108" s="123" t="s">
        <v>310</v>
      </c>
      <c r="G108" s="112"/>
      <c r="H108" s="112"/>
      <c r="I108" s="112"/>
      <c r="J108" s="114" t="s">
        <v>187</v>
      </c>
      <c r="K108" s="112">
        <v>614800</v>
      </c>
      <c r="L108" s="112">
        <v>271830</v>
      </c>
      <c r="M108" s="122" t="str">
        <f>A108</f>
        <v>ASEMA (EFMI)</v>
      </c>
      <c r="N108" s="266"/>
      <c r="O108" s="266"/>
      <c r="P108" s="266"/>
      <c r="Q108" s="266"/>
      <c r="R108" s="265"/>
      <c r="S108" s="278"/>
      <c r="T108" s="119"/>
      <c r="U108" s="120"/>
      <c r="V108" s="121"/>
      <c r="W108" s="112"/>
      <c r="X108" s="112"/>
      <c r="Y108" s="112"/>
      <c r="AA108" s="112"/>
      <c r="AB108" s="112"/>
      <c r="AC108" s="122"/>
    </row>
    <row r="109" spans="1:29" ht="12.75">
      <c r="A109" s="118" t="s">
        <v>726</v>
      </c>
      <c r="B109" s="119" t="str">
        <f t="shared" si="12"/>
        <v>61</v>
      </c>
      <c r="C109" s="120" t="s">
        <v>727</v>
      </c>
      <c r="D109" s="119">
        <v>25</v>
      </c>
      <c r="E109" s="120">
        <v>14.26</v>
      </c>
      <c r="F109" s="121" t="s">
        <v>331</v>
      </c>
      <c r="G109" s="112"/>
      <c r="H109" s="112"/>
      <c r="I109" s="112"/>
      <c r="J109" s="114" t="s">
        <v>57</v>
      </c>
      <c r="K109" s="112">
        <v>614442</v>
      </c>
      <c r="L109" s="112">
        <v>251426</v>
      </c>
      <c r="M109" s="122" t="str">
        <f aca="true" t="shared" si="17" ref="M109:M119">A109</f>
        <v>PIHLA (EFHA)</v>
      </c>
      <c r="N109" s="266"/>
      <c r="O109" s="266"/>
      <c r="P109" s="266"/>
      <c r="Q109" s="266"/>
      <c r="R109" s="265"/>
      <c r="S109" s="278"/>
      <c r="T109" s="119"/>
      <c r="U109" s="120"/>
      <c r="V109" s="121"/>
      <c r="W109" s="112"/>
      <c r="X109" s="112"/>
      <c r="Y109" s="112"/>
      <c r="AA109" s="112"/>
      <c r="AB109" s="112"/>
      <c r="AC109" s="122"/>
    </row>
    <row r="110" spans="1:29" ht="12.75">
      <c r="A110" s="118" t="s">
        <v>728</v>
      </c>
      <c r="B110" s="119" t="str">
        <f t="shared" si="12"/>
        <v>61</v>
      </c>
      <c r="C110" s="120">
        <v>43.1</v>
      </c>
      <c r="D110" s="119" t="str">
        <f t="shared" si="14"/>
        <v>24</v>
      </c>
      <c r="E110" s="120">
        <v>23.7</v>
      </c>
      <c r="F110" s="121" t="s">
        <v>331</v>
      </c>
      <c r="G110" s="112"/>
      <c r="H110" s="112"/>
      <c r="I110" s="112"/>
      <c r="J110" s="114" t="s">
        <v>57</v>
      </c>
      <c r="K110" s="112">
        <v>614305</v>
      </c>
      <c r="L110" s="112">
        <v>242345</v>
      </c>
      <c r="M110" s="122" t="str">
        <f t="shared" si="17"/>
        <v>TALVI (EFHA)</v>
      </c>
      <c r="N110" s="266"/>
      <c r="O110" s="266"/>
      <c r="P110" s="266"/>
      <c r="Q110" s="266"/>
      <c r="R110" s="265"/>
      <c r="S110" s="278"/>
      <c r="T110" s="119"/>
      <c r="U110" s="120"/>
      <c r="V110" s="123"/>
      <c r="W110" s="112"/>
      <c r="X110" s="112"/>
      <c r="Y110" s="112"/>
      <c r="AA110" s="112"/>
      <c r="AB110" s="112"/>
      <c r="AC110" s="122"/>
    </row>
    <row r="111" spans="1:29" ht="12.75">
      <c r="A111" s="118" t="s">
        <v>748</v>
      </c>
      <c r="B111" s="119" t="str">
        <f t="shared" si="12"/>
        <v>67</v>
      </c>
      <c r="C111" s="120">
        <v>36.2</v>
      </c>
      <c r="D111" s="119">
        <v>24</v>
      </c>
      <c r="E111" s="120">
        <v>34.6</v>
      </c>
      <c r="F111" s="123" t="s">
        <v>301</v>
      </c>
      <c r="G111" s="112"/>
      <c r="H111" s="112"/>
      <c r="I111" s="112"/>
      <c r="J111" s="114" t="s">
        <v>179</v>
      </c>
      <c r="K111" s="112">
        <v>673611</v>
      </c>
      <c r="L111" s="112">
        <v>243435</v>
      </c>
      <c r="M111" s="122" t="str">
        <f t="shared" si="17"/>
        <v>KENUS (EFKT)</v>
      </c>
      <c r="N111" s="266"/>
      <c r="O111" s="266"/>
      <c r="P111" s="266"/>
      <c r="Q111" s="266"/>
      <c r="R111" s="265"/>
      <c r="S111" s="278"/>
      <c r="T111" s="119"/>
      <c r="U111" s="120"/>
      <c r="V111" s="123"/>
      <c r="W111" s="112"/>
      <c r="X111" s="112"/>
      <c r="Y111" s="112"/>
      <c r="AA111" s="112"/>
      <c r="AB111" s="112"/>
      <c r="AC111" s="122"/>
    </row>
    <row r="112" spans="1:29" ht="12.75">
      <c r="A112" s="118" t="s">
        <v>779</v>
      </c>
      <c r="B112" s="119" t="str">
        <f t="shared" si="12"/>
        <v>61</v>
      </c>
      <c r="C112" s="120">
        <v>28.6</v>
      </c>
      <c r="D112" s="119">
        <v>22</v>
      </c>
      <c r="E112" s="120">
        <v>11.9</v>
      </c>
      <c r="F112" s="123" t="s">
        <v>383</v>
      </c>
      <c r="G112" s="112"/>
      <c r="H112" s="112"/>
      <c r="I112" s="112"/>
      <c r="J112" s="114" t="s">
        <v>197</v>
      </c>
      <c r="K112" s="112">
        <v>612836</v>
      </c>
      <c r="L112" s="112">
        <v>22158</v>
      </c>
      <c r="M112" s="122" t="str">
        <f t="shared" si="17"/>
        <v>KULTA (EFPO)</v>
      </c>
      <c r="N112" s="266"/>
      <c r="O112" s="266"/>
      <c r="P112" s="266"/>
      <c r="Q112" s="266"/>
      <c r="R112" s="265"/>
      <c r="S112" s="278"/>
      <c r="T112" s="119"/>
      <c r="U112" s="120"/>
      <c r="V112" s="123"/>
      <c r="W112" s="112"/>
      <c r="X112" s="112"/>
      <c r="Y112" s="112"/>
      <c r="AA112" s="112"/>
      <c r="AB112" s="112"/>
      <c r="AC112" s="122"/>
    </row>
    <row r="113" spans="1:29" ht="12.75">
      <c r="A113" s="118" t="s">
        <v>765</v>
      </c>
      <c r="B113" s="119" t="str">
        <f t="shared" si="12"/>
        <v>61</v>
      </c>
      <c r="C113" s="120">
        <v>5.3</v>
      </c>
      <c r="D113" s="119" t="str">
        <f t="shared" si="14"/>
        <v>27</v>
      </c>
      <c r="E113" s="120">
        <v>42.6</v>
      </c>
      <c r="F113" s="123" t="s">
        <v>307</v>
      </c>
      <c r="G113" s="112"/>
      <c r="H113" s="112"/>
      <c r="I113" s="112"/>
      <c r="J113" s="114" t="s">
        <v>185</v>
      </c>
      <c r="K113" s="112">
        <v>610520</v>
      </c>
      <c r="L113" s="112">
        <v>274235</v>
      </c>
      <c r="M113" s="122" t="str">
        <f t="shared" si="17"/>
        <v>HANNA (EFLP)</v>
      </c>
      <c r="N113" s="266"/>
      <c r="O113" s="266"/>
      <c r="P113" s="266"/>
      <c r="Q113" s="266"/>
      <c r="R113" s="265"/>
      <c r="S113" s="278"/>
      <c r="T113" s="119"/>
      <c r="U113" s="120"/>
      <c r="V113" s="112"/>
      <c r="W113" s="112"/>
      <c r="X113" s="112"/>
      <c r="Y113" s="112"/>
      <c r="AA113" s="112"/>
      <c r="AB113" s="112"/>
      <c r="AC113" s="122"/>
    </row>
    <row r="114" spans="1:29" ht="12.75">
      <c r="A114" s="118" t="s">
        <v>263</v>
      </c>
      <c r="B114" s="119" t="str">
        <f t="shared" si="12"/>
        <v>60</v>
      </c>
      <c r="C114" s="120">
        <f t="shared" si="13"/>
        <v>33.5</v>
      </c>
      <c r="D114" s="119" t="str">
        <f t="shared" si="14"/>
        <v>25</v>
      </c>
      <c r="E114" s="120">
        <f t="shared" si="15"/>
        <v>22</v>
      </c>
      <c r="F114" s="112" t="s">
        <v>332</v>
      </c>
      <c r="G114" s="112"/>
      <c r="H114" s="112"/>
      <c r="I114" s="112"/>
      <c r="J114" s="114" t="s">
        <v>330</v>
      </c>
      <c r="K114" s="112">
        <v>603330</v>
      </c>
      <c r="L114" s="112">
        <v>252200</v>
      </c>
      <c r="M114" s="122" t="str">
        <f t="shared" si="17"/>
        <v>ISOJÄRVI</v>
      </c>
      <c r="N114" s="266"/>
      <c r="O114" s="266"/>
      <c r="P114" s="266"/>
      <c r="Q114" s="266"/>
      <c r="R114" s="265"/>
      <c r="S114" s="278"/>
      <c r="T114" s="119"/>
      <c r="U114" s="120"/>
      <c r="V114" s="123"/>
      <c r="W114" s="112"/>
      <c r="X114" s="112"/>
      <c r="Y114" s="112"/>
      <c r="AA114" s="112"/>
      <c r="AB114" s="112"/>
      <c r="AC114" s="122"/>
    </row>
    <row r="115" spans="1:29" ht="12.75">
      <c r="A115" s="118" t="s">
        <v>791</v>
      </c>
      <c r="B115" s="119" t="str">
        <f t="shared" si="12"/>
        <v>62</v>
      </c>
      <c r="C115" s="120">
        <v>33.3</v>
      </c>
      <c r="D115" s="119" t="str">
        <f t="shared" si="14"/>
        <v>22</v>
      </c>
      <c r="E115" s="120">
        <v>44.6</v>
      </c>
      <c r="F115" s="123" t="s">
        <v>318</v>
      </c>
      <c r="G115" s="112"/>
      <c r="H115" s="112"/>
      <c r="I115" s="112"/>
      <c r="J115" s="114" t="s">
        <v>208</v>
      </c>
      <c r="K115" s="112">
        <v>623317</v>
      </c>
      <c r="L115" s="112">
        <v>224435</v>
      </c>
      <c r="M115" s="122" t="str">
        <f t="shared" si="17"/>
        <v>JOKIP (EFSI)</v>
      </c>
      <c r="N115" s="266"/>
      <c r="O115" s="266"/>
      <c r="P115" s="266"/>
      <c r="Q115" s="266"/>
      <c r="R115" s="265"/>
      <c r="S115" s="278"/>
      <c r="T115" s="119"/>
      <c r="U115" s="120"/>
      <c r="V115" s="123"/>
      <c r="W115" s="112"/>
      <c r="X115" s="112"/>
      <c r="Y115" s="112"/>
      <c r="AA115" s="112"/>
      <c r="AB115" s="112"/>
      <c r="AC115" s="122"/>
    </row>
    <row r="116" spans="1:29" ht="12.75">
      <c r="A116" s="118" t="s">
        <v>749</v>
      </c>
      <c r="B116" s="119" t="str">
        <f t="shared" si="12"/>
        <v>67</v>
      </c>
      <c r="C116" s="120">
        <v>36.7</v>
      </c>
      <c r="D116" s="119">
        <v>25</v>
      </c>
      <c r="E116" s="120">
        <v>14.6</v>
      </c>
      <c r="F116" s="123" t="s">
        <v>301</v>
      </c>
      <c r="G116" s="112"/>
      <c r="H116" s="112"/>
      <c r="I116" s="112"/>
      <c r="J116" s="114" t="s">
        <v>179</v>
      </c>
      <c r="K116" s="112">
        <v>673641</v>
      </c>
      <c r="L116" s="112">
        <v>251434</v>
      </c>
      <c r="M116" s="122" t="str">
        <f t="shared" si="17"/>
        <v>KUMPU (EFKT)</v>
      </c>
      <c r="N116" s="266"/>
      <c r="O116" s="266"/>
      <c r="P116" s="266"/>
      <c r="Q116" s="266"/>
      <c r="R116" s="265"/>
      <c r="S116" s="278"/>
      <c r="T116" s="119"/>
      <c r="U116" s="120"/>
      <c r="V116" s="123"/>
      <c r="W116" s="112"/>
      <c r="X116" s="112"/>
      <c r="Y116" s="112"/>
      <c r="AA116" s="112"/>
      <c r="AB116" s="112"/>
      <c r="AC116" s="122"/>
    </row>
    <row r="117" spans="1:29" ht="12.75">
      <c r="A117" s="118" t="s">
        <v>750</v>
      </c>
      <c r="B117" s="119" t="str">
        <f t="shared" si="12"/>
        <v>67</v>
      </c>
      <c r="C117" s="120">
        <v>53.3</v>
      </c>
      <c r="D117" s="119">
        <v>25</v>
      </c>
      <c r="E117" s="120">
        <v>4.4</v>
      </c>
      <c r="F117" s="123" t="s">
        <v>301</v>
      </c>
      <c r="G117" s="112"/>
      <c r="H117" s="112"/>
      <c r="I117" s="112"/>
      <c r="J117" s="114" t="s">
        <v>179</v>
      </c>
      <c r="K117" s="112">
        <v>675316</v>
      </c>
      <c r="L117" s="112">
        <v>250426</v>
      </c>
      <c r="M117" s="122" t="str">
        <f t="shared" si="17"/>
        <v>LOUKI (EFKT)</v>
      </c>
      <c r="N117" s="266"/>
      <c r="O117" s="266"/>
      <c r="P117" s="266"/>
      <c r="Q117" s="266"/>
      <c r="R117" s="265"/>
      <c r="S117" s="278"/>
      <c r="T117" s="119"/>
      <c r="U117" s="120"/>
      <c r="V117" s="123"/>
      <c r="W117" s="112"/>
      <c r="X117" s="112"/>
      <c r="Y117" s="112"/>
      <c r="AA117" s="112"/>
      <c r="AB117" s="112"/>
      <c r="AC117" s="122"/>
    </row>
    <row r="118" spans="1:29" ht="12.75">
      <c r="A118" s="118" t="s">
        <v>757</v>
      </c>
      <c r="B118" s="119">
        <v>63</v>
      </c>
      <c r="C118" s="120">
        <v>8.2</v>
      </c>
      <c r="D118" s="119" t="str">
        <f t="shared" si="14"/>
        <v>27</v>
      </c>
      <c r="E118" s="120">
        <v>58.6</v>
      </c>
      <c r="F118" s="123" t="s">
        <v>303</v>
      </c>
      <c r="G118" s="112"/>
      <c r="H118" s="112"/>
      <c r="I118" s="112"/>
      <c r="J118" s="114" t="s">
        <v>180</v>
      </c>
      <c r="K118" s="112">
        <v>630809</v>
      </c>
      <c r="L118" s="112">
        <v>275835</v>
      </c>
      <c r="M118" s="122" t="str">
        <f t="shared" si="17"/>
        <v>KOKKO (EFKU)</v>
      </c>
      <c r="N118" s="266"/>
      <c r="O118" s="266"/>
      <c r="P118" s="266"/>
      <c r="Q118" s="266"/>
      <c r="R118" s="265"/>
      <c r="S118" s="278"/>
      <c r="T118" s="119"/>
      <c r="U118" s="120"/>
      <c r="V118" s="123"/>
      <c r="W118" s="112"/>
      <c r="X118" s="112"/>
      <c r="Y118" s="112"/>
      <c r="AA118" s="112"/>
      <c r="AB118" s="112"/>
      <c r="AC118" s="122"/>
    </row>
    <row r="119" spans="1:29" ht="12.75">
      <c r="A119" s="118" t="s">
        <v>262</v>
      </c>
      <c r="B119" s="119" t="str">
        <f t="shared" si="12"/>
        <v>63</v>
      </c>
      <c r="C119" s="120">
        <f t="shared" si="13"/>
        <v>12.666666666666666</v>
      </c>
      <c r="D119" s="119" t="str">
        <f t="shared" si="14"/>
        <v>22</v>
      </c>
      <c r="E119" s="120">
        <f t="shared" si="15"/>
        <v>48.666666666666664</v>
      </c>
      <c r="F119" s="123" t="s">
        <v>295</v>
      </c>
      <c r="G119" s="112"/>
      <c r="H119" s="112"/>
      <c r="I119" s="112"/>
      <c r="K119" s="112">
        <v>631240</v>
      </c>
      <c r="L119" s="112">
        <v>224840</v>
      </c>
      <c r="M119" s="122" t="str">
        <f t="shared" si="17"/>
        <v>KANNISTO</v>
      </c>
      <c r="N119" s="266"/>
      <c r="O119" s="266"/>
      <c r="P119" s="266"/>
      <c r="Q119" s="266"/>
      <c r="R119" s="265"/>
      <c r="S119" s="278"/>
      <c r="T119" s="119"/>
      <c r="U119" s="120"/>
      <c r="V119" s="123"/>
      <c r="W119" s="112"/>
      <c r="X119" s="112"/>
      <c r="Y119" s="112"/>
      <c r="AA119" s="112"/>
      <c r="AB119" s="112"/>
      <c r="AC119" s="122"/>
    </row>
    <row r="120" spans="1:29" ht="12.75">
      <c r="A120" s="118" t="s">
        <v>742</v>
      </c>
      <c r="B120" s="119" t="str">
        <f t="shared" si="12"/>
        <v>64</v>
      </c>
      <c r="C120" s="120">
        <v>8.2</v>
      </c>
      <c r="D120" s="119">
        <v>27</v>
      </c>
      <c r="E120" s="120">
        <v>25.5</v>
      </c>
      <c r="F120" s="123" t="s">
        <v>294</v>
      </c>
      <c r="G120" s="112"/>
      <c r="H120" s="112"/>
      <c r="I120" s="112"/>
      <c r="J120" s="114" t="s">
        <v>174</v>
      </c>
      <c r="K120" s="112">
        <v>640814</v>
      </c>
      <c r="L120" s="112">
        <v>272527</v>
      </c>
      <c r="M120" s="122" t="s">
        <v>364</v>
      </c>
      <c r="N120" s="266"/>
      <c r="O120" s="266"/>
      <c r="P120" s="266"/>
      <c r="Q120" s="266"/>
      <c r="R120" s="265"/>
      <c r="S120" s="278"/>
      <c r="T120" s="119"/>
      <c r="U120" s="120"/>
      <c r="V120" s="121"/>
      <c r="W120" s="112"/>
      <c r="X120" s="112"/>
      <c r="Y120" s="112"/>
      <c r="AA120" s="112"/>
      <c r="AB120" s="112"/>
      <c r="AC120" s="122"/>
    </row>
    <row r="121" spans="1:29" ht="12.75">
      <c r="A121" s="118" t="s">
        <v>718</v>
      </c>
      <c r="B121" s="119" t="str">
        <f t="shared" si="12"/>
        <v>68</v>
      </c>
      <c r="C121" s="120">
        <v>26.2</v>
      </c>
      <c r="D121" s="119" t="str">
        <f t="shared" si="14"/>
        <v>27</v>
      </c>
      <c r="E121" s="120">
        <v>24.3</v>
      </c>
      <c r="F121" s="121" t="s">
        <v>340</v>
      </c>
      <c r="G121" s="112"/>
      <c r="H121" s="112"/>
      <c r="I121" s="112"/>
      <c r="J121" s="114" t="s">
        <v>77</v>
      </c>
      <c r="K121" s="112">
        <v>682610</v>
      </c>
      <c r="L121" s="112">
        <v>272421</v>
      </c>
      <c r="M121" s="122" t="str">
        <f>A121</f>
        <v>LAANI (EFIV)</v>
      </c>
      <c r="N121" s="266"/>
      <c r="O121" s="266"/>
      <c r="P121" s="266"/>
      <c r="Q121" s="266"/>
      <c r="R121" s="265"/>
      <c r="S121" s="278"/>
      <c r="T121" s="119"/>
      <c r="U121" s="120"/>
      <c r="V121" s="123"/>
      <c r="W121" s="112"/>
      <c r="X121" s="112"/>
      <c r="Y121" s="112"/>
      <c r="AA121" s="112"/>
      <c r="AB121" s="112"/>
      <c r="AC121" s="122"/>
    </row>
    <row r="122" spans="1:29" ht="12.75">
      <c r="A122" s="118" t="s">
        <v>719</v>
      </c>
      <c r="B122" s="119" t="str">
        <f t="shared" si="12"/>
        <v>68</v>
      </c>
      <c r="C122" s="120" t="s">
        <v>720</v>
      </c>
      <c r="D122" s="119" t="str">
        <f t="shared" si="14"/>
        <v>27</v>
      </c>
      <c r="E122" s="120">
        <v>31.8</v>
      </c>
      <c r="F122" s="112" t="s">
        <v>291</v>
      </c>
      <c r="G122" s="112"/>
      <c r="H122" s="112"/>
      <c r="I122" s="112"/>
      <c r="J122" s="114" t="s">
        <v>77</v>
      </c>
      <c r="K122" s="112">
        <v>684910</v>
      </c>
      <c r="L122" s="112">
        <v>273148</v>
      </c>
      <c r="M122" s="122" t="str">
        <f>A122</f>
        <v>MAHLA (EFIV)</v>
      </c>
      <c r="N122" s="266"/>
      <c r="O122" s="266"/>
      <c r="P122" s="266"/>
      <c r="Q122" s="266"/>
      <c r="R122" s="265"/>
      <c r="S122" s="278"/>
      <c r="T122" s="119"/>
      <c r="U122" s="120"/>
      <c r="V122" s="121"/>
      <c r="W122" s="112"/>
      <c r="X122" s="112"/>
      <c r="Y122" s="112"/>
      <c r="AA122" s="112"/>
      <c r="AB122" s="112"/>
      <c r="AC122" s="122"/>
    </row>
    <row r="123" spans="1:29" ht="12.75">
      <c r="A123" s="118" t="s">
        <v>735</v>
      </c>
      <c r="B123" s="119" t="str">
        <f t="shared" si="12"/>
        <v>62</v>
      </c>
      <c r="C123" s="120">
        <v>45.2</v>
      </c>
      <c r="D123" s="119" t="str">
        <f t="shared" si="14"/>
        <v>29</v>
      </c>
      <c r="E123" s="120">
        <v>50.9</v>
      </c>
      <c r="F123" s="121" t="s">
        <v>290</v>
      </c>
      <c r="G123" s="112"/>
      <c r="H123" s="112"/>
      <c r="I123" s="112"/>
      <c r="J123" s="114" t="s">
        <v>80</v>
      </c>
      <c r="K123" s="112">
        <v>624514</v>
      </c>
      <c r="L123" s="112">
        <v>295057</v>
      </c>
      <c r="M123" s="122" t="str">
        <f>A123</f>
        <v>KONTI (EFJO)</v>
      </c>
      <c r="N123" s="266"/>
      <c r="O123" s="266"/>
      <c r="P123" s="266"/>
      <c r="Q123" s="266"/>
      <c r="R123" s="265"/>
      <c r="S123" s="278"/>
      <c r="T123" s="119"/>
      <c r="U123" s="120"/>
      <c r="V123" s="123"/>
      <c r="W123" s="112"/>
      <c r="X123" s="112"/>
      <c r="Y123" s="112"/>
      <c r="AA123" s="112"/>
      <c r="AB123" s="112"/>
      <c r="AC123" s="122"/>
    </row>
    <row r="124" spans="1:29" ht="12.75">
      <c r="A124" s="118" t="s">
        <v>758</v>
      </c>
      <c r="B124" s="119" t="str">
        <f t="shared" si="12"/>
        <v>62</v>
      </c>
      <c r="C124" s="120">
        <v>58.6</v>
      </c>
      <c r="D124" s="119" t="str">
        <f t="shared" si="14"/>
        <v>27</v>
      </c>
      <c r="E124" s="120">
        <v>31.6</v>
      </c>
      <c r="F124" s="123" t="s">
        <v>303</v>
      </c>
      <c r="G124" s="112"/>
      <c r="H124" s="112"/>
      <c r="I124" s="112"/>
      <c r="J124" s="114" t="s">
        <v>180</v>
      </c>
      <c r="K124" s="112">
        <v>625838</v>
      </c>
      <c r="L124" s="112">
        <v>273138</v>
      </c>
      <c r="M124" s="122" t="str">
        <f>A124</f>
        <v>LAIVO (EFKU)</v>
      </c>
      <c r="N124" s="266"/>
      <c r="O124" s="266"/>
      <c r="P124" s="266"/>
      <c r="Q124" s="266"/>
      <c r="R124" s="265"/>
      <c r="S124" s="278"/>
      <c r="T124" s="119"/>
      <c r="U124" s="120"/>
      <c r="V124" s="123"/>
      <c r="W124" s="112"/>
      <c r="X124" s="112"/>
      <c r="Y124" s="112"/>
      <c r="AA124" s="112"/>
      <c r="AB124" s="112"/>
      <c r="AC124" s="122"/>
    </row>
    <row r="125" spans="1:29" ht="12.75">
      <c r="A125" s="118" t="s">
        <v>390</v>
      </c>
      <c r="B125" s="119" t="str">
        <f t="shared" si="12"/>
        <v>69</v>
      </c>
      <c r="C125" s="120">
        <f t="shared" si="13"/>
        <v>24.966666666666665</v>
      </c>
      <c r="D125" s="119" t="str">
        <f t="shared" si="14"/>
        <v>25</v>
      </c>
      <c r="E125" s="120">
        <f t="shared" si="15"/>
        <v>49.21666666666667</v>
      </c>
      <c r="F125" s="123"/>
      <c r="G125" s="112"/>
      <c r="H125" s="112"/>
      <c r="I125" s="112"/>
      <c r="J125" s="114" t="s">
        <v>391</v>
      </c>
      <c r="K125" s="112">
        <v>692458</v>
      </c>
      <c r="L125" s="112">
        <v>254913</v>
      </c>
      <c r="M125" s="122" t="s">
        <v>390</v>
      </c>
      <c r="N125" s="266"/>
      <c r="O125" s="266"/>
      <c r="P125" s="266"/>
      <c r="Q125" s="266"/>
      <c r="R125" s="265"/>
      <c r="S125" s="278"/>
      <c r="T125" s="119"/>
      <c r="U125" s="120"/>
      <c r="V125" s="123"/>
      <c r="W125" s="112"/>
      <c r="X125" s="112"/>
      <c r="Y125" s="112"/>
      <c r="AA125" s="112"/>
      <c r="AB125" s="112"/>
      <c r="AC125" s="122"/>
    </row>
    <row r="126" spans="1:29" ht="12.75">
      <c r="A126" s="118" t="s">
        <v>392</v>
      </c>
      <c r="B126" s="119" t="str">
        <f t="shared" si="12"/>
        <v>67</v>
      </c>
      <c r="C126" s="120">
        <f t="shared" si="13"/>
        <v>35.016666666666666</v>
      </c>
      <c r="D126" s="119" t="str">
        <f t="shared" si="14"/>
        <v>23</v>
      </c>
      <c r="E126" s="120">
        <f t="shared" si="15"/>
        <v>32.63333333333333</v>
      </c>
      <c r="F126" s="123"/>
      <c r="G126" s="112"/>
      <c r="H126" s="112"/>
      <c r="I126" s="112"/>
      <c r="J126" s="114" t="s">
        <v>391</v>
      </c>
      <c r="K126" s="112">
        <v>673501</v>
      </c>
      <c r="L126" s="112">
        <v>233238</v>
      </c>
      <c r="M126" s="122" t="s">
        <v>392</v>
      </c>
      <c r="N126" s="266"/>
      <c r="O126" s="266"/>
      <c r="P126" s="266"/>
      <c r="Q126" s="266"/>
      <c r="R126" s="265"/>
      <c r="S126" s="278"/>
      <c r="T126" s="119"/>
      <c r="U126" s="120"/>
      <c r="V126" s="123"/>
      <c r="W126" s="112"/>
      <c r="X126" s="112"/>
      <c r="Y126" s="112"/>
      <c r="AA126" s="112"/>
      <c r="AB126" s="112"/>
      <c r="AC126" s="122"/>
    </row>
    <row r="127" spans="1:29" ht="12.75">
      <c r="A127" s="118" t="s">
        <v>817</v>
      </c>
      <c r="B127" s="119">
        <v>66</v>
      </c>
      <c r="C127" s="120">
        <v>5.2</v>
      </c>
      <c r="D127" s="119">
        <v>29</v>
      </c>
      <c r="E127" s="120">
        <v>25.4</v>
      </c>
      <c r="F127" s="123" t="s">
        <v>818</v>
      </c>
      <c r="G127" s="112"/>
      <c r="H127" s="112"/>
      <c r="I127" s="112"/>
      <c r="J127" s="114" t="s">
        <v>178</v>
      </c>
      <c r="K127" s="112">
        <v>660514</v>
      </c>
      <c r="L127" s="112">
        <v>292522</v>
      </c>
      <c r="M127" s="122" t="s">
        <v>817</v>
      </c>
      <c r="N127" s="266"/>
      <c r="O127" s="266"/>
      <c r="P127" s="266"/>
      <c r="Q127" s="266"/>
      <c r="R127" s="265"/>
      <c r="S127" s="278"/>
      <c r="T127" s="119"/>
      <c r="U127" s="120"/>
      <c r="V127" s="123"/>
      <c r="W127" s="112"/>
      <c r="X127" s="112"/>
      <c r="Y127" s="112"/>
      <c r="AA127" s="112"/>
      <c r="AB127" s="112"/>
      <c r="AC127" s="122"/>
    </row>
    <row r="128" spans="1:29" ht="12.75">
      <c r="A128" s="118" t="s">
        <v>761</v>
      </c>
      <c r="B128" s="119">
        <v>65</v>
      </c>
      <c r="C128" s="120">
        <v>54</v>
      </c>
      <c r="D128" s="119">
        <v>29</v>
      </c>
      <c r="E128" s="120">
        <v>1.1</v>
      </c>
      <c r="F128" s="123" t="s">
        <v>695</v>
      </c>
      <c r="G128" s="112"/>
      <c r="H128" s="112"/>
      <c r="I128" s="112"/>
      <c r="J128" s="114" t="s">
        <v>178</v>
      </c>
      <c r="K128" s="112">
        <v>655402</v>
      </c>
      <c r="L128" s="112">
        <v>290106</v>
      </c>
      <c r="M128" s="122" t="s">
        <v>694</v>
      </c>
      <c r="N128" s="266"/>
      <c r="O128" s="266"/>
      <c r="P128" s="266"/>
      <c r="Q128" s="266"/>
      <c r="R128" s="265"/>
      <c r="S128" s="278"/>
      <c r="T128" s="119"/>
      <c r="U128" s="120"/>
      <c r="V128" s="121"/>
      <c r="W128" s="112"/>
      <c r="X128" s="112"/>
      <c r="Y128" s="112"/>
      <c r="AA128" s="112"/>
      <c r="AB128" s="112"/>
      <c r="AC128" s="122"/>
    </row>
    <row r="129" spans="1:29" ht="12.75">
      <c r="A129" s="118" t="s">
        <v>267</v>
      </c>
      <c r="B129" s="119" t="str">
        <f t="shared" si="12"/>
        <v>60</v>
      </c>
      <c r="C129" s="120">
        <f t="shared" si="13"/>
        <v>27.066666666666666</v>
      </c>
      <c r="D129" s="119" t="str">
        <f t="shared" si="14"/>
        <v>25</v>
      </c>
      <c r="E129" s="120">
        <f t="shared" si="15"/>
        <v>1.1166666666666667</v>
      </c>
      <c r="F129" s="121" t="s">
        <v>285</v>
      </c>
      <c r="G129" s="112"/>
      <c r="H129" s="112"/>
      <c r="I129" s="112"/>
      <c r="J129" s="114" t="s">
        <v>61</v>
      </c>
      <c r="K129" s="112">
        <v>602704</v>
      </c>
      <c r="L129" s="112">
        <v>250107</v>
      </c>
      <c r="M129" s="122" t="str">
        <f>A129</f>
        <v>KOLIS (EFHK)</v>
      </c>
      <c r="N129" s="266"/>
      <c r="O129" s="266"/>
      <c r="P129" s="266"/>
      <c r="Q129" s="266"/>
      <c r="R129" s="265"/>
      <c r="S129" s="278"/>
      <c r="T129" s="119"/>
      <c r="U129" s="120"/>
      <c r="V129" s="123"/>
      <c r="W129" s="112"/>
      <c r="X129" s="112"/>
      <c r="Y129" s="112"/>
      <c r="AA129" s="112"/>
      <c r="AB129" s="112"/>
      <c r="AC129" s="122"/>
    </row>
    <row r="130" spans="1:29" ht="12.75">
      <c r="A130" s="118" t="s">
        <v>753</v>
      </c>
      <c r="B130" s="119" t="str">
        <f t="shared" si="12"/>
        <v>63</v>
      </c>
      <c r="C130" s="120">
        <v>52.1</v>
      </c>
      <c r="D130" s="119">
        <v>23</v>
      </c>
      <c r="E130" s="120">
        <v>29.6</v>
      </c>
      <c r="F130" s="123" t="s">
        <v>302</v>
      </c>
      <c r="G130" s="112"/>
      <c r="H130" s="112"/>
      <c r="I130" s="112"/>
      <c r="J130" s="114" t="s">
        <v>143</v>
      </c>
      <c r="K130" s="112">
        <v>635206</v>
      </c>
      <c r="L130" s="112">
        <v>232938</v>
      </c>
      <c r="M130" s="122" t="str">
        <f>A130</f>
        <v>KALVI (EFKK)</v>
      </c>
      <c r="N130" s="266"/>
      <c r="O130" s="266"/>
      <c r="P130" s="266"/>
      <c r="Q130" s="266"/>
      <c r="R130" s="265"/>
      <c r="S130" s="278"/>
      <c r="T130" s="119"/>
      <c r="U130" s="120"/>
      <c r="V130" s="123"/>
      <c r="W130" s="112"/>
      <c r="X130" s="112"/>
      <c r="Y130" s="112"/>
      <c r="AA130" s="112"/>
      <c r="AB130" s="112"/>
      <c r="AC130" s="122"/>
    </row>
    <row r="131" spans="1:29" ht="12.75">
      <c r="A131" s="118" t="s">
        <v>393</v>
      </c>
      <c r="B131" s="119" t="str">
        <f t="shared" si="12"/>
        <v>67</v>
      </c>
      <c r="C131" s="120">
        <f t="shared" si="13"/>
        <v>19.933333333333334</v>
      </c>
      <c r="D131" s="119" t="str">
        <f t="shared" si="14"/>
        <v>23</v>
      </c>
      <c r="E131" s="120">
        <f t="shared" si="15"/>
        <v>46</v>
      </c>
      <c r="F131" s="123"/>
      <c r="G131" s="112"/>
      <c r="H131" s="112"/>
      <c r="I131" s="112"/>
      <c r="J131" s="114" t="s">
        <v>391</v>
      </c>
      <c r="K131" s="112">
        <v>671956</v>
      </c>
      <c r="L131" s="112">
        <v>234600</v>
      </c>
      <c r="M131" s="122" t="s">
        <v>393</v>
      </c>
      <c r="N131" s="266"/>
      <c r="O131" s="266"/>
      <c r="P131" s="266"/>
      <c r="Q131" s="266"/>
      <c r="R131" s="265"/>
      <c r="S131" s="278"/>
      <c r="T131" s="119"/>
      <c r="U131" s="120"/>
      <c r="V131" s="123"/>
      <c r="W131" s="112"/>
      <c r="X131" s="112"/>
      <c r="Y131" s="112"/>
      <c r="AA131" s="112"/>
      <c r="AB131" s="112"/>
      <c r="AC131" s="122"/>
    </row>
    <row r="132" spans="1:29" ht="12.75">
      <c r="A132" s="118" t="s">
        <v>821</v>
      </c>
      <c r="B132" s="119">
        <v>61</v>
      </c>
      <c r="C132" s="120">
        <v>59</v>
      </c>
      <c r="D132" s="119">
        <v>29</v>
      </c>
      <c r="E132" s="120">
        <v>16.6</v>
      </c>
      <c r="F132" s="123" t="s">
        <v>317</v>
      </c>
      <c r="G132" s="112"/>
      <c r="H132" s="112"/>
      <c r="I132" s="112"/>
      <c r="J132" s="114" t="s">
        <v>206</v>
      </c>
      <c r="K132" s="112">
        <v>615900</v>
      </c>
      <c r="L132" s="112">
        <v>291639</v>
      </c>
      <c r="M132" s="122" t="s">
        <v>821</v>
      </c>
      <c r="N132" s="266"/>
      <c r="O132" s="266"/>
      <c r="P132" s="266"/>
      <c r="Q132" s="266"/>
      <c r="R132" s="265"/>
      <c r="S132" s="278"/>
      <c r="T132" s="119"/>
      <c r="U132" s="120"/>
      <c r="V132" s="123"/>
      <c r="W132" s="112"/>
      <c r="X132" s="112"/>
      <c r="Y132" s="112"/>
      <c r="AA132" s="112"/>
      <c r="AB132" s="112"/>
      <c r="AC132" s="122"/>
    </row>
    <row r="133" spans="1:29" ht="12.75">
      <c r="A133" s="118" t="s">
        <v>787</v>
      </c>
      <c r="B133" s="119">
        <v>62</v>
      </c>
      <c r="C133" s="120">
        <v>1.1</v>
      </c>
      <c r="D133" s="119" t="str">
        <f aca="true" t="shared" si="18" ref="D133:D218">LEFT(L133,2)</f>
        <v>28</v>
      </c>
      <c r="E133" s="120">
        <v>34.7</v>
      </c>
      <c r="F133" s="123" t="s">
        <v>317</v>
      </c>
      <c r="G133" s="112"/>
      <c r="H133" s="112"/>
      <c r="I133" s="112"/>
      <c r="J133" s="114" t="s">
        <v>206</v>
      </c>
      <c r="K133" s="112">
        <v>620106</v>
      </c>
      <c r="L133" s="112">
        <v>283444</v>
      </c>
      <c r="M133" s="122" t="str">
        <f>A133</f>
        <v>APAJA (EFSA)</v>
      </c>
      <c r="N133" s="266"/>
      <c r="O133" s="266"/>
      <c r="P133" s="266"/>
      <c r="Q133" s="266"/>
      <c r="R133" s="265"/>
      <c r="S133" s="278"/>
      <c r="T133" s="119"/>
      <c r="U133" s="120"/>
      <c r="V133" s="123"/>
      <c r="W133" s="112"/>
      <c r="X133" s="112"/>
      <c r="Y133" s="112"/>
      <c r="AA133" s="112"/>
      <c r="AB133" s="112"/>
      <c r="AC133" s="122"/>
    </row>
    <row r="134" spans="1:29" ht="12.75">
      <c r="A134" s="118" t="s">
        <v>144</v>
      </c>
      <c r="B134" s="119" t="str">
        <f>LEFT(K134,2)</f>
        <v>60</v>
      </c>
      <c r="C134" s="120">
        <f>MID(K134,3,2)+(RIGHT(K134,2)/60)</f>
        <v>55.833333333333336</v>
      </c>
      <c r="D134" s="119" t="str">
        <f t="shared" si="18"/>
        <v>26</v>
      </c>
      <c r="E134" s="120">
        <f>MID(L134,3,2)+(RIGHT(L134,2)/60)</f>
        <v>0.1</v>
      </c>
      <c r="F134" s="123" t="s">
        <v>247</v>
      </c>
      <c r="G134" s="112"/>
      <c r="H134" s="112"/>
      <c r="I134" s="112"/>
      <c r="J134" s="114" t="s">
        <v>144</v>
      </c>
      <c r="K134" s="112">
        <v>605550</v>
      </c>
      <c r="L134" s="112">
        <v>260006</v>
      </c>
      <c r="M134" s="122" t="str">
        <f>A134</f>
        <v>KOTI</v>
      </c>
      <c r="N134" s="266"/>
      <c r="O134" s="266"/>
      <c r="P134" s="266"/>
      <c r="Q134" s="266"/>
      <c r="R134" s="265"/>
      <c r="S134" s="278"/>
      <c r="T134" s="119"/>
      <c r="U134" s="120"/>
      <c r="V134" s="123"/>
      <c r="W134" s="112"/>
      <c r="X134" s="112"/>
      <c r="Y134" s="112"/>
      <c r="AA134" s="112"/>
      <c r="AB134" s="112"/>
      <c r="AC134" s="122"/>
    </row>
    <row r="135" spans="1:29" ht="12.75">
      <c r="A135" s="118" t="s">
        <v>394</v>
      </c>
      <c r="B135" s="119" t="str">
        <f>LEFT(K135,2)</f>
        <v>68</v>
      </c>
      <c r="C135" s="120">
        <f>MID(K135,3,2)+(RIGHT(K135,2)/60)</f>
        <v>26.533333333333335</v>
      </c>
      <c r="D135" s="119" t="str">
        <f t="shared" si="18"/>
        <v>22</v>
      </c>
      <c r="E135" s="120">
        <f>MID(L135,3,2)+(RIGHT(L135,2)/60)</f>
        <v>29.816666666666666</v>
      </c>
      <c r="F135" s="123"/>
      <c r="G135" s="112"/>
      <c r="H135" s="112"/>
      <c r="I135" s="112"/>
      <c r="J135" s="114" t="s">
        <v>391</v>
      </c>
      <c r="K135" s="112">
        <v>682632</v>
      </c>
      <c r="L135" s="112">
        <v>222949</v>
      </c>
      <c r="M135" s="122" t="s">
        <v>394</v>
      </c>
      <c r="N135" s="266"/>
      <c r="O135" s="266"/>
      <c r="P135" s="266"/>
      <c r="Q135" s="266"/>
      <c r="R135" s="265"/>
      <c r="S135" s="278"/>
      <c r="T135" s="119"/>
      <c r="U135" s="120"/>
      <c r="V135" s="123"/>
      <c r="W135" s="112"/>
      <c r="X135" s="112"/>
      <c r="Y135" s="112"/>
      <c r="AA135" s="112"/>
      <c r="AB135" s="112"/>
      <c r="AC135" s="122"/>
    </row>
    <row r="136" spans="1:29" ht="12.75">
      <c r="A136" s="118" t="s">
        <v>795</v>
      </c>
      <c r="B136" s="119" t="str">
        <f>LEFT(K136,2)</f>
        <v>61</v>
      </c>
      <c r="C136" s="120">
        <v>35.2</v>
      </c>
      <c r="D136" s="119" t="str">
        <f t="shared" si="18"/>
        <v>23</v>
      </c>
      <c r="E136" s="120">
        <v>45.2</v>
      </c>
      <c r="F136" s="123" t="s">
        <v>314</v>
      </c>
      <c r="G136" s="112"/>
      <c r="H136" s="112"/>
      <c r="I136" s="112"/>
      <c r="J136" s="114" t="s">
        <v>276</v>
      </c>
      <c r="K136" s="112">
        <v>613509</v>
      </c>
      <c r="L136" s="112">
        <v>234511</v>
      </c>
      <c r="M136" s="122" t="str">
        <f>A136</f>
        <v>PALLO (EFTP)</v>
      </c>
      <c r="N136" s="266"/>
      <c r="O136" s="266"/>
      <c r="P136" s="266"/>
      <c r="Q136" s="266"/>
      <c r="R136" s="265"/>
      <c r="S136" s="278"/>
      <c r="T136" s="119"/>
      <c r="U136" s="120"/>
      <c r="V136" s="123"/>
      <c r="W136" s="112"/>
      <c r="X136" s="112"/>
      <c r="Y136" s="112"/>
      <c r="AA136" s="112"/>
      <c r="AB136" s="112"/>
      <c r="AC136" s="122"/>
    </row>
    <row r="137" spans="1:29" ht="12.75">
      <c r="A137" s="118" t="s">
        <v>780</v>
      </c>
      <c r="B137" s="119" t="str">
        <f t="shared" si="12"/>
        <v>61</v>
      </c>
      <c r="C137" s="120">
        <v>14.9</v>
      </c>
      <c r="D137" s="119">
        <v>21</v>
      </c>
      <c r="E137" s="120">
        <v>58.1</v>
      </c>
      <c r="F137" s="123" t="s">
        <v>383</v>
      </c>
      <c r="G137" s="112"/>
      <c r="H137" s="112"/>
      <c r="I137" s="112"/>
      <c r="J137" s="114" t="s">
        <v>197</v>
      </c>
      <c r="K137" s="112">
        <v>611458</v>
      </c>
      <c r="L137" s="112">
        <v>215806</v>
      </c>
      <c r="M137" s="122" t="str">
        <f>A137</f>
        <v>MALOP (EFPO)</v>
      </c>
      <c r="N137" s="266"/>
      <c r="O137" s="266"/>
      <c r="P137" s="266"/>
      <c r="Q137" s="266"/>
      <c r="R137" s="265"/>
      <c r="S137" s="278"/>
      <c r="T137" s="119"/>
      <c r="U137" s="120"/>
      <c r="V137" s="123"/>
      <c r="W137" s="112"/>
      <c r="X137" s="112"/>
      <c r="Y137" s="112"/>
      <c r="AA137" s="112"/>
      <c r="AB137" s="112"/>
      <c r="AC137" s="122"/>
    </row>
    <row r="138" spans="1:29" ht="12.75">
      <c r="A138" s="118" t="s">
        <v>762</v>
      </c>
      <c r="B138" s="119">
        <v>66</v>
      </c>
      <c r="C138" s="120">
        <v>13.5</v>
      </c>
      <c r="D138" s="119">
        <v>29</v>
      </c>
      <c r="E138" s="120">
        <v>2.9</v>
      </c>
      <c r="F138" s="123" t="s">
        <v>695</v>
      </c>
      <c r="G138" s="112"/>
      <c r="H138" s="112"/>
      <c r="I138" s="112"/>
      <c r="J138" s="114" t="s">
        <v>178</v>
      </c>
      <c r="K138" s="112">
        <v>661333</v>
      </c>
      <c r="L138" s="112">
        <v>290251</v>
      </c>
      <c r="M138" s="122" t="s">
        <v>696</v>
      </c>
      <c r="N138" s="266"/>
      <c r="O138" s="266"/>
      <c r="P138" s="266"/>
      <c r="Q138" s="266"/>
      <c r="R138" s="265"/>
      <c r="S138" s="278"/>
      <c r="T138" s="119"/>
      <c r="U138" s="120"/>
      <c r="V138" s="121"/>
      <c r="W138" s="112"/>
      <c r="X138" s="112"/>
      <c r="Y138" s="112"/>
      <c r="AA138" s="112"/>
      <c r="AB138" s="112"/>
      <c r="AC138" s="122"/>
    </row>
    <row r="139" spans="1:29" ht="12.75">
      <c r="A139" s="118" t="s">
        <v>739</v>
      </c>
      <c r="B139" s="119" t="str">
        <f aca="true" t="shared" si="19" ref="B139:B152">LEFT(K139,2)</f>
        <v>62</v>
      </c>
      <c r="C139" s="120">
        <v>27.1</v>
      </c>
      <c r="D139" s="119">
        <v>25</v>
      </c>
      <c r="E139" s="120">
        <v>15.4</v>
      </c>
      <c r="F139" s="121" t="s">
        <v>291</v>
      </c>
      <c r="G139" s="112"/>
      <c r="H139" s="112"/>
      <c r="I139" s="112"/>
      <c r="J139" s="114" t="s">
        <v>245</v>
      </c>
      <c r="K139" s="112">
        <v>622708</v>
      </c>
      <c r="L139" s="112">
        <v>251522</v>
      </c>
      <c r="M139" s="122" t="s">
        <v>410</v>
      </c>
      <c r="N139" s="266"/>
      <c r="O139" s="266"/>
      <c r="P139" s="266"/>
      <c r="Q139" s="266"/>
      <c r="R139" s="265"/>
      <c r="S139" s="278"/>
      <c r="T139" s="119"/>
      <c r="U139" s="120"/>
      <c r="V139" s="121"/>
      <c r="W139" s="112"/>
      <c r="X139" s="112"/>
      <c r="Y139" s="112"/>
      <c r="AA139" s="112"/>
      <c r="AB139" s="112"/>
      <c r="AC139" s="122"/>
    </row>
    <row r="140" spans="1:29" ht="12.75">
      <c r="A140" s="118" t="s">
        <v>740</v>
      </c>
      <c r="B140" s="119" t="str">
        <f t="shared" si="19"/>
        <v>62</v>
      </c>
      <c r="C140" s="120">
        <v>17.8</v>
      </c>
      <c r="D140" s="119" t="str">
        <f t="shared" si="18"/>
        <v>25</v>
      </c>
      <c r="E140" s="120">
        <v>31.3</v>
      </c>
      <c r="F140" s="121" t="s">
        <v>291</v>
      </c>
      <c r="G140" s="112"/>
      <c r="H140" s="112"/>
      <c r="I140" s="112"/>
      <c r="J140" s="114" t="s">
        <v>245</v>
      </c>
      <c r="K140" s="112">
        <v>621748</v>
      </c>
      <c r="L140" s="112">
        <v>253117</v>
      </c>
      <c r="M140" s="122" t="s">
        <v>411</v>
      </c>
      <c r="N140" s="266"/>
      <c r="O140" s="266"/>
      <c r="P140" s="266"/>
      <c r="Q140" s="266"/>
      <c r="R140" s="265"/>
      <c r="S140" s="278"/>
      <c r="T140" s="119"/>
      <c r="U140" s="120"/>
      <c r="V140" s="123"/>
      <c r="W140" s="112"/>
      <c r="X140" s="112"/>
      <c r="Y140" s="112"/>
      <c r="AA140" s="112"/>
      <c r="AB140" s="112"/>
      <c r="AC140" s="122"/>
    </row>
    <row r="141" spans="1:29" ht="12.75">
      <c r="A141" s="118" t="s">
        <v>754</v>
      </c>
      <c r="B141" s="119" t="str">
        <f t="shared" si="19"/>
        <v>63</v>
      </c>
      <c r="C141" s="120">
        <v>35.8</v>
      </c>
      <c r="D141" s="119">
        <v>22</v>
      </c>
      <c r="E141" s="120">
        <v>48.4</v>
      </c>
      <c r="F141" s="123" t="s">
        <v>302</v>
      </c>
      <c r="G141" s="112"/>
      <c r="H141" s="112"/>
      <c r="I141" s="112"/>
      <c r="J141" s="114" t="s">
        <v>143</v>
      </c>
      <c r="K141" s="112">
        <v>633546</v>
      </c>
      <c r="L141" s="112">
        <v>224824</v>
      </c>
      <c r="M141" s="122" t="str">
        <f>A141</f>
        <v>PEDER (EFKK)</v>
      </c>
      <c r="N141" s="266"/>
      <c r="O141" s="266"/>
      <c r="P141" s="266"/>
      <c r="Q141" s="266"/>
      <c r="R141" s="265"/>
      <c r="S141" s="278"/>
      <c r="T141" s="119"/>
      <c r="U141" s="120"/>
      <c r="V141" s="123"/>
      <c r="W141" s="112"/>
      <c r="X141" s="112"/>
      <c r="Y141" s="112"/>
      <c r="AA141" s="112"/>
      <c r="AB141" s="112"/>
      <c r="AC141" s="122"/>
    </row>
    <row r="142" spans="1:29" ht="12.75">
      <c r="A142" s="118" t="s">
        <v>413</v>
      </c>
      <c r="B142" s="119" t="str">
        <f t="shared" si="19"/>
        <v>61</v>
      </c>
      <c r="C142" s="120">
        <f>MID(K142,3,2)+(RIGHT(K142,2)/60)</f>
        <v>0</v>
      </c>
      <c r="D142" s="119" t="str">
        <f t="shared" si="18"/>
        <v>25</v>
      </c>
      <c r="E142" s="120">
        <f>MID(L142,3,2)+(RIGHT(L142,2)/60)</f>
        <v>40</v>
      </c>
      <c r="F142" s="123" t="s">
        <v>247</v>
      </c>
      <c r="G142" s="112"/>
      <c r="H142" s="112"/>
      <c r="I142" s="112"/>
      <c r="J142" s="114" t="s">
        <v>414</v>
      </c>
      <c r="K142" s="112">
        <v>610000</v>
      </c>
      <c r="L142" s="112">
        <v>254000</v>
      </c>
      <c r="M142" s="122" t="str">
        <f>A142</f>
        <v>LAHTIs</v>
      </c>
      <c r="N142" s="266"/>
      <c r="O142" s="266"/>
      <c r="P142" s="266"/>
      <c r="Q142" s="266"/>
      <c r="R142" s="265"/>
      <c r="S142" s="278"/>
      <c r="T142" s="119"/>
      <c r="U142" s="120"/>
      <c r="V142" s="123"/>
      <c r="W142" s="112"/>
      <c r="X142" s="112"/>
      <c r="Y142" s="112"/>
      <c r="AA142" s="112"/>
      <c r="AB142" s="112"/>
      <c r="AC142" s="122"/>
    </row>
    <row r="143" spans="1:29" ht="12.75">
      <c r="A143" s="118" t="s">
        <v>806</v>
      </c>
      <c r="B143" s="119" t="str">
        <f t="shared" si="19"/>
        <v>62</v>
      </c>
      <c r="C143" s="120">
        <v>56.7</v>
      </c>
      <c r="D143" s="119">
        <v>21</v>
      </c>
      <c r="E143" s="120">
        <v>32.7</v>
      </c>
      <c r="F143" s="123" t="s">
        <v>325</v>
      </c>
      <c r="G143" s="112"/>
      <c r="H143" s="112"/>
      <c r="I143" s="112"/>
      <c r="J143" s="114" t="s">
        <v>216</v>
      </c>
      <c r="K143" s="112">
        <v>625646</v>
      </c>
      <c r="L143" s="112">
        <v>213243</v>
      </c>
      <c r="M143" s="122" t="str">
        <f aca="true" t="shared" si="20" ref="M143:M151">A143</f>
        <v>MINNE (EFVA)</v>
      </c>
      <c r="N143" s="266"/>
      <c r="O143" s="266"/>
      <c r="P143" s="266"/>
      <c r="Q143" s="266"/>
      <c r="R143" s="265"/>
      <c r="S143" s="278"/>
      <c r="T143" s="119"/>
      <c r="U143" s="120"/>
      <c r="V143" s="121"/>
      <c r="W143" s="112"/>
      <c r="X143" s="112"/>
      <c r="Y143" s="112"/>
      <c r="AA143" s="112"/>
      <c r="AB143" s="112"/>
      <c r="AC143" s="122"/>
    </row>
    <row r="144" spans="1:29" ht="12.75">
      <c r="A144" s="118" t="s">
        <v>729</v>
      </c>
      <c r="B144" s="119" t="str">
        <f t="shared" si="19"/>
        <v>61</v>
      </c>
      <c r="C144" s="120">
        <v>57.9</v>
      </c>
      <c r="D144" s="119" t="str">
        <f t="shared" si="18"/>
        <v>24</v>
      </c>
      <c r="E144" s="120">
        <v>21.4</v>
      </c>
      <c r="F144" s="121" t="s">
        <v>331</v>
      </c>
      <c r="G144" s="112"/>
      <c r="H144" s="112"/>
      <c r="I144" s="112"/>
      <c r="J144" s="114" t="s">
        <v>57</v>
      </c>
      <c r="K144" s="112">
        <v>615759</v>
      </c>
      <c r="L144" s="112">
        <v>242122</v>
      </c>
      <c r="M144" s="122" t="str">
        <f t="shared" si="20"/>
        <v>VILPU (EFHA)</v>
      </c>
      <c r="N144" s="266"/>
      <c r="O144" s="266"/>
      <c r="P144" s="266"/>
      <c r="Q144" s="266"/>
      <c r="R144" s="265"/>
      <c r="S144" s="278"/>
      <c r="T144" s="119"/>
      <c r="U144" s="120"/>
      <c r="V144" s="123"/>
      <c r="W144" s="112"/>
      <c r="X144" s="112"/>
      <c r="Y144" s="112"/>
      <c r="AA144" s="112"/>
      <c r="AB144" s="112"/>
      <c r="AC144" s="122"/>
    </row>
    <row r="145" spans="1:29" ht="12.75">
      <c r="A145" s="118" t="s">
        <v>770</v>
      </c>
      <c r="B145" s="119" t="str">
        <f t="shared" si="19"/>
        <v>60</v>
      </c>
      <c r="C145" s="120">
        <v>12.6</v>
      </c>
      <c r="D145" s="119" t="str">
        <f t="shared" si="18"/>
        <v>20</v>
      </c>
      <c r="E145" s="120">
        <v>14.8</v>
      </c>
      <c r="F145" s="123" t="s">
        <v>308</v>
      </c>
      <c r="G145" s="112"/>
      <c r="H145" s="112"/>
      <c r="I145" s="112"/>
      <c r="J145" s="114" t="s">
        <v>224</v>
      </c>
      <c r="K145" s="112">
        <v>601235</v>
      </c>
      <c r="L145" s="112">
        <v>201450</v>
      </c>
      <c r="M145" s="122" t="str">
        <f t="shared" si="20"/>
        <v>PRAST (EFMA)</v>
      </c>
      <c r="N145" s="266"/>
      <c r="O145" s="266"/>
      <c r="P145" s="266"/>
      <c r="Q145" s="266"/>
      <c r="R145" s="265"/>
      <c r="S145" s="278"/>
      <c r="T145" s="119"/>
      <c r="U145" s="120"/>
      <c r="V145" s="123"/>
      <c r="W145" s="112"/>
      <c r="X145" s="112"/>
      <c r="Y145" s="112"/>
      <c r="AA145" s="112"/>
      <c r="AB145" s="112"/>
      <c r="AC145" s="122"/>
    </row>
    <row r="146" spans="1:29" ht="12.75">
      <c r="A146" s="118" t="s">
        <v>796</v>
      </c>
      <c r="B146" s="119" t="str">
        <f t="shared" si="19"/>
        <v>61</v>
      </c>
      <c r="C146" s="120">
        <v>29.3</v>
      </c>
      <c r="D146" s="119" t="str">
        <f t="shared" si="18"/>
        <v>23</v>
      </c>
      <c r="E146" s="120">
        <v>19.6</v>
      </c>
      <c r="F146" s="123" t="s">
        <v>314</v>
      </c>
      <c r="G146" s="112"/>
      <c r="H146" s="112"/>
      <c r="I146" s="112"/>
      <c r="J146" s="114" t="s">
        <v>276</v>
      </c>
      <c r="K146" s="112">
        <v>612917</v>
      </c>
      <c r="L146" s="112">
        <v>231934</v>
      </c>
      <c r="M146" s="122" t="str">
        <f t="shared" si="20"/>
        <v>PURSO (EFTP)</v>
      </c>
      <c r="N146" s="266"/>
      <c r="O146" s="266"/>
      <c r="P146" s="266"/>
      <c r="Q146" s="266"/>
      <c r="R146" s="265"/>
      <c r="S146" s="278"/>
      <c r="T146" s="119"/>
      <c r="U146" s="120"/>
      <c r="V146" s="123"/>
      <c r="W146" s="112"/>
      <c r="X146" s="112"/>
      <c r="Y146" s="112"/>
      <c r="AA146" s="112"/>
      <c r="AB146" s="112"/>
      <c r="AC146" s="122"/>
    </row>
    <row r="147" spans="1:29" ht="12.75">
      <c r="A147" s="118" t="s">
        <v>730</v>
      </c>
      <c r="B147" s="119" t="str">
        <f t="shared" si="19"/>
        <v>68</v>
      </c>
      <c r="C147" s="120">
        <v>31.1</v>
      </c>
      <c r="D147" s="119" t="str">
        <f t="shared" si="18"/>
        <v>23</v>
      </c>
      <c r="E147" s="120">
        <v>18.3</v>
      </c>
      <c r="F147" s="121" t="s">
        <v>277</v>
      </c>
      <c r="G147" s="112"/>
      <c r="H147" s="112"/>
      <c r="I147" s="112"/>
      <c r="J147" s="114" t="s">
        <v>368</v>
      </c>
      <c r="K147" s="112">
        <v>683105</v>
      </c>
      <c r="L147" s="112">
        <v>231819</v>
      </c>
      <c r="M147" s="122" t="str">
        <f t="shared" si="20"/>
        <v>GALDO (EFET)</v>
      </c>
      <c r="N147" s="266"/>
      <c r="O147" s="266"/>
      <c r="P147" s="266"/>
      <c r="Q147" s="266"/>
      <c r="R147" s="265"/>
      <c r="S147" s="278"/>
      <c r="T147" s="119"/>
      <c r="U147" s="120"/>
      <c r="V147" s="121"/>
      <c r="W147" s="112"/>
      <c r="X147" s="112"/>
      <c r="Y147" s="112"/>
      <c r="AA147" s="112"/>
      <c r="AB147" s="112"/>
      <c r="AC147" s="122"/>
    </row>
    <row r="148" spans="1:29" ht="12.75">
      <c r="A148" s="118" t="s">
        <v>268</v>
      </c>
      <c r="B148" s="119" t="str">
        <f t="shared" si="19"/>
        <v>60</v>
      </c>
      <c r="C148" s="120">
        <f>MID(K148,3,2)+(RIGHT(K148,2)/60)</f>
        <v>19.433333333333334</v>
      </c>
      <c r="D148" s="119" t="str">
        <f t="shared" si="18"/>
        <v>25</v>
      </c>
      <c r="E148" s="120">
        <f>MID(L148,3,2)+(RIGHT(L148,2)/60)</f>
        <v>12.516666666666667</v>
      </c>
      <c r="F148" s="121" t="s">
        <v>285</v>
      </c>
      <c r="G148" s="112"/>
      <c r="H148" s="112"/>
      <c r="I148" s="112"/>
      <c r="J148" s="114" t="s">
        <v>61</v>
      </c>
      <c r="K148" s="112">
        <v>601926</v>
      </c>
      <c r="L148" s="112">
        <v>251231</v>
      </c>
      <c r="M148" s="122" t="str">
        <f t="shared" si="20"/>
        <v>LILJA (EFHK)</v>
      </c>
      <c r="N148" s="266"/>
      <c r="O148" s="266"/>
      <c r="P148" s="266"/>
      <c r="Q148" s="266"/>
      <c r="R148" s="265"/>
      <c r="S148" s="278"/>
      <c r="T148" s="119"/>
      <c r="U148" s="120"/>
      <c r="V148" s="123"/>
      <c r="W148" s="112"/>
      <c r="X148" s="112"/>
      <c r="Y148" s="112"/>
      <c r="AA148" s="112"/>
      <c r="AB148" s="112"/>
      <c r="AC148" s="122"/>
    </row>
    <row r="149" spans="1:29" ht="12.75">
      <c r="A149" s="118" t="s">
        <v>775</v>
      </c>
      <c r="B149" s="119" t="str">
        <f t="shared" si="19"/>
        <v>64</v>
      </c>
      <c r="C149" s="120">
        <v>44.1</v>
      </c>
      <c r="D149" s="119" t="str">
        <f t="shared" si="18"/>
        <v>25</v>
      </c>
      <c r="E149" s="120">
        <v>32.9</v>
      </c>
      <c r="F149" s="123" t="s">
        <v>312</v>
      </c>
      <c r="G149" s="112"/>
      <c r="H149" s="112"/>
      <c r="I149" s="112"/>
      <c r="J149" s="114" t="s">
        <v>192</v>
      </c>
      <c r="K149" s="112">
        <v>644406</v>
      </c>
      <c r="L149" s="112">
        <v>253253</v>
      </c>
      <c r="M149" s="122" t="str">
        <f t="shared" si="20"/>
        <v>HAURU (EFOU)</v>
      </c>
      <c r="N149" s="266"/>
      <c r="O149" s="266"/>
      <c r="P149" s="266"/>
      <c r="Q149" s="266"/>
      <c r="R149" s="265"/>
      <c r="S149" s="278"/>
      <c r="T149" s="119"/>
      <c r="U149" s="120"/>
      <c r="V149" s="121"/>
      <c r="W149" s="112"/>
      <c r="X149" s="112"/>
      <c r="Y149" s="112"/>
      <c r="AA149" s="112"/>
      <c r="AB149" s="112"/>
      <c r="AC149" s="122"/>
    </row>
    <row r="150" spans="1:29" ht="12.75">
      <c r="A150" s="118" t="s">
        <v>269</v>
      </c>
      <c r="B150" s="119" t="str">
        <f t="shared" si="19"/>
        <v>60</v>
      </c>
      <c r="C150" s="120">
        <f>MID(K150,3,2)+(RIGHT(K150,2)/60)</f>
        <v>22.783333333333335</v>
      </c>
      <c r="D150" s="119" t="str">
        <f t="shared" si="18"/>
        <v>24</v>
      </c>
      <c r="E150" s="120">
        <f>MID(L150,3,2)+(RIGHT(L150,2)/60)</f>
        <v>41.06666666666667</v>
      </c>
      <c r="F150" s="121" t="s">
        <v>285</v>
      </c>
      <c r="G150" s="112"/>
      <c r="H150" s="112"/>
      <c r="I150" s="112"/>
      <c r="J150" s="114" t="s">
        <v>61</v>
      </c>
      <c r="K150" s="112">
        <v>602247</v>
      </c>
      <c r="L150" s="112">
        <v>244104</v>
      </c>
      <c r="M150" s="122" t="str">
        <f t="shared" si="20"/>
        <v>LINTU (EFHK)</v>
      </c>
      <c r="N150" s="266"/>
      <c r="O150" s="266"/>
      <c r="P150" s="266"/>
      <c r="Q150" s="266"/>
      <c r="R150" s="265"/>
      <c r="S150" s="278"/>
      <c r="T150" s="119"/>
      <c r="U150" s="120"/>
      <c r="V150" s="121"/>
      <c r="W150" s="112"/>
      <c r="X150" s="112"/>
      <c r="Y150" s="112"/>
      <c r="AA150" s="112"/>
      <c r="AB150" s="112"/>
      <c r="AC150" s="122"/>
    </row>
    <row r="151" spans="1:29" ht="12.75">
      <c r="A151" s="118" t="s">
        <v>736</v>
      </c>
      <c r="B151" s="119" t="str">
        <f t="shared" si="19"/>
        <v>62</v>
      </c>
      <c r="C151" s="120">
        <v>33.6</v>
      </c>
      <c r="D151" s="119" t="str">
        <f t="shared" si="18"/>
        <v>29</v>
      </c>
      <c r="E151" s="120">
        <v>27.1</v>
      </c>
      <c r="F151" s="121" t="s">
        <v>290</v>
      </c>
      <c r="G151" s="112"/>
      <c r="H151" s="112"/>
      <c r="I151" s="112"/>
      <c r="J151" s="114" t="s">
        <v>80</v>
      </c>
      <c r="K151" s="112">
        <v>623321</v>
      </c>
      <c r="L151" s="112">
        <v>292706</v>
      </c>
      <c r="M151" s="122" t="str">
        <f t="shared" si="20"/>
        <v>LIPPI (EFJO)</v>
      </c>
      <c r="N151" s="266"/>
      <c r="O151" s="266"/>
      <c r="P151" s="266"/>
      <c r="Q151" s="266"/>
      <c r="R151" s="265"/>
      <c r="S151" s="278"/>
      <c r="T151" s="119"/>
      <c r="U151" s="120"/>
      <c r="V151" s="121"/>
      <c r="W151" s="112"/>
      <c r="X151" s="112"/>
      <c r="Y151" s="112"/>
      <c r="AA151" s="112"/>
      <c r="AB151" s="112"/>
      <c r="AC151" s="122"/>
    </row>
    <row r="152" spans="1:29" ht="12.75">
      <c r="A152" s="118" t="s">
        <v>395</v>
      </c>
      <c r="B152" s="119" t="str">
        <f t="shared" si="19"/>
        <v>66</v>
      </c>
      <c r="C152" s="120">
        <f>MID(K152,3,2)+(RIGHT(K152,2)/60)</f>
        <v>19.066666666666666</v>
      </c>
      <c r="D152" s="119" t="str">
        <f t="shared" si="18"/>
        <v>23</v>
      </c>
      <c r="E152" s="120">
        <f>MID(L152,3,2)+(RIGHT(L152,2)/60)</f>
        <v>39.28333333333333</v>
      </c>
      <c r="F152" s="121"/>
      <c r="G152" s="112"/>
      <c r="H152" s="112"/>
      <c r="I152" s="112"/>
      <c r="J152" s="114" t="s">
        <v>391</v>
      </c>
      <c r="K152" s="112">
        <v>661904</v>
      </c>
      <c r="L152" s="112">
        <v>233917</v>
      </c>
      <c r="M152" s="122" t="s">
        <v>395</v>
      </c>
      <c r="N152" s="266"/>
      <c r="O152" s="266"/>
      <c r="P152" s="266"/>
      <c r="Q152" s="266"/>
      <c r="R152" s="265"/>
      <c r="S152" s="278"/>
      <c r="T152" s="119"/>
      <c r="U152" s="120"/>
      <c r="V152" s="123"/>
      <c r="W152" s="112"/>
      <c r="X152" s="112"/>
      <c r="Y152" s="112"/>
      <c r="AA152" s="112"/>
      <c r="AB152" s="112"/>
      <c r="AC152" s="122"/>
    </row>
    <row r="153" spans="1:29" ht="12.75">
      <c r="A153" s="118" t="s">
        <v>766</v>
      </c>
      <c r="B153" s="119">
        <v>61</v>
      </c>
      <c r="C153" s="120">
        <v>12.8</v>
      </c>
      <c r="D153" s="119" t="str">
        <f t="shared" si="18"/>
        <v>28</v>
      </c>
      <c r="E153" s="120">
        <v>25.3</v>
      </c>
      <c r="F153" s="123" t="s">
        <v>307</v>
      </c>
      <c r="G153" s="112"/>
      <c r="H153" s="112"/>
      <c r="I153" s="112"/>
      <c r="J153" s="114" t="s">
        <v>185</v>
      </c>
      <c r="K153" s="112">
        <v>611248</v>
      </c>
      <c r="L153" s="112">
        <v>282516</v>
      </c>
      <c r="M153" s="122" t="str">
        <f aca="true" t="shared" si="21" ref="M153:M160">A153</f>
        <v>KAITO (EFLP)</v>
      </c>
      <c r="N153" s="266"/>
      <c r="O153" s="266"/>
      <c r="P153" s="266"/>
      <c r="Q153" s="266"/>
      <c r="R153" s="265"/>
      <c r="S153" s="278"/>
      <c r="T153" s="119"/>
      <c r="U153" s="120"/>
      <c r="V153" s="123"/>
      <c r="W153" s="112"/>
      <c r="X153" s="112"/>
      <c r="Y153" s="112"/>
      <c r="AA153" s="112"/>
      <c r="AB153" s="112"/>
      <c r="AC153" s="122"/>
    </row>
    <row r="154" spans="1:29" ht="12.75">
      <c r="A154" s="118" t="s">
        <v>776</v>
      </c>
      <c r="B154" s="119" t="str">
        <f>LEFT(K154,2)</f>
        <v>64</v>
      </c>
      <c r="C154" s="120">
        <v>56.8</v>
      </c>
      <c r="D154" s="119" t="str">
        <f t="shared" si="18"/>
        <v>25</v>
      </c>
      <c r="E154" s="120">
        <v>40.7</v>
      </c>
      <c r="F154" s="123" t="s">
        <v>312</v>
      </c>
      <c r="G154" s="112"/>
      <c r="H154" s="112"/>
      <c r="I154" s="112"/>
      <c r="J154" s="114" t="s">
        <v>192</v>
      </c>
      <c r="K154" s="112">
        <v>645652</v>
      </c>
      <c r="L154" s="112">
        <v>254044</v>
      </c>
      <c r="M154" s="122" t="str">
        <f t="shared" si="21"/>
        <v>PILPA (EFOU)</v>
      </c>
      <c r="N154" s="266"/>
      <c r="O154" s="266"/>
      <c r="P154" s="266"/>
      <c r="Q154" s="266"/>
      <c r="R154" s="265"/>
      <c r="S154" s="278"/>
      <c r="T154" s="119"/>
      <c r="U154" s="120"/>
      <c r="V154" s="123"/>
      <c r="W154" s="112"/>
      <c r="X154" s="112"/>
      <c r="Y154" s="112"/>
      <c r="AA154" s="112"/>
      <c r="AB154" s="112"/>
      <c r="AC154" s="122"/>
    </row>
    <row r="155" spans="1:29" ht="12.75">
      <c r="A155" s="118" t="s">
        <v>792</v>
      </c>
      <c r="B155" s="119" t="str">
        <f>LEFT(K155,2)</f>
        <v>62</v>
      </c>
      <c r="C155" s="120">
        <v>41.2</v>
      </c>
      <c r="D155" s="119" t="str">
        <f t="shared" si="18"/>
        <v>22</v>
      </c>
      <c r="E155" s="120">
        <v>27.9</v>
      </c>
      <c r="F155" s="123" t="s">
        <v>318</v>
      </c>
      <c r="G155" s="112"/>
      <c r="H155" s="112"/>
      <c r="I155" s="112"/>
      <c r="J155" s="114" t="s">
        <v>208</v>
      </c>
      <c r="K155" s="112">
        <v>624115</v>
      </c>
      <c r="L155" s="112">
        <v>222755</v>
      </c>
      <c r="M155" s="122" t="str">
        <f t="shared" si="21"/>
        <v>KOSSU (EFSI)</v>
      </c>
      <c r="N155" s="266"/>
      <c r="O155" s="266"/>
      <c r="P155" s="266"/>
      <c r="Q155" s="266"/>
      <c r="R155" s="265"/>
      <c r="S155" s="278"/>
      <c r="T155" s="119"/>
      <c r="U155" s="120"/>
      <c r="V155" s="123"/>
      <c r="W155" s="112"/>
      <c r="X155" s="112"/>
      <c r="Y155" s="112"/>
      <c r="AA155" s="112"/>
      <c r="AB155" s="112"/>
      <c r="AC155" s="122"/>
    </row>
    <row r="156" spans="1:29" ht="12.75">
      <c r="A156" s="118" t="s">
        <v>755</v>
      </c>
      <c r="B156" s="119" t="str">
        <f>LEFT(K156,2)</f>
        <v>63</v>
      </c>
      <c r="C156" s="120">
        <v>48.5</v>
      </c>
      <c r="D156" s="119" t="str">
        <f t="shared" si="18"/>
        <v>22</v>
      </c>
      <c r="E156" s="120">
        <v>53.7</v>
      </c>
      <c r="F156" s="123" t="s">
        <v>302</v>
      </c>
      <c r="G156" s="112"/>
      <c r="H156" s="112"/>
      <c r="I156" s="112"/>
      <c r="J156" s="114" t="s">
        <v>143</v>
      </c>
      <c r="K156" s="112">
        <v>634828</v>
      </c>
      <c r="L156" s="112">
        <v>225340</v>
      </c>
      <c r="M156" s="122" t="str">
        <f t="shared" si="21"/>
        <v>SUNDI (EFKK)</v>
      </c>
      <c r="N156" s="266"/>
      <c r="O156" s="266"/>
      <c r="P156" s="266"/>
      <c r="Q156" s="266"/>
      <c r="R156" s="265"/>
      <c r="S156" s="278"/>
      <c r="T156" s="119"/>
      <c r="U156" s="120"/>
      <c r="V156" s="123"/>
      <c r="W156" s="112"/>
      <c r="X156" s="112"/>
      <c r="Y156" s="112"/>
      <c r="AA156" s="112"/>
      <c r="AB156" s="112"/>
      <c r="AC156" s="122"/>
    </row>
    <row r="157" spans="1:29" ht="12.75">
      <c r="A157" s="118" t="s">
        <v>781</v>
      </c>
      <c r="B157" s="119" t="str">
        <f>LEFT(K157,2)</f>
        <v>61</v>
      </c>
      <c r="C157" s="120">
        <v>21.6</v>
      </c>
      <c r="D157" s="119">
        <v>21</v>
      </c>
      <c r="E157" s="120">
        <v>38.9</v>
      </c>
      <c r="F157" s="123" t="s">
        <v>383</v>
      </c>
      <c r="G157" s="112"/>
      <c r="H157" s="112"/>
      <c r="I157" s="112"/>
      <c r="J157" s="114" t="s">
        <v>197</v>
      </c>
      <c r="K157" s="112">
        <v>612134</v>
      </c>
      <c r="L157" s="112">
        <v>23859</v>
      </c>
      <c r="M157" s="122" t="str">
        <f t="shared" si="21"/>
        <v>RAUTU (EFPO)</v>
      </c>
      <c r="N157" s="266"/>
      <c r="O157" s="266"/>
      <c r="P157" s="266"/>
      <c r="Q157" s="266"/>
      <c r="R157" s="265"/>
      <c r="S157" s="278"/>
      <c r="T157" s="119"/>
      <c r="U157" s="120"/>
      <c r="V157" s="123"/>
      <c r="W157" s="112"/>
      <c r="X157" s="112"/>
      <c r="Y157" s="112"/>
      <c r="AA157" s="112"/>
      <c r="AB157" s="112"/>
      <c r="AC157" s="122"/>
    </row>
    <row r="158" spans="1:29" ht="12.75">
      <c r="A158" s="118" t="s">
        <v>807</v>
      </c>
      <c r="B158" s="119">
        <v>62</v>
      </c>
      <c r="C158" s="120">
        <v>59.5</v>
      </c>
      <c r="D158" s="119">
        <v>22</v>
      </c>
      <c r="E158" s="120">
        <v>5.2</v>
      </c>
      <c r="F158" s="123" t="s">
        <v>325</v>
      </c>
      <c r="G158" s="112"/>
      <c r="H158" s="112"/>
      <c r="I158" s="112"/>
      <c r="J158" s="114" t="s">
        <v>216</v>
      </c>
      <c r="K158" s="112">
        <v>625933</v>
      </c>
      <c r="L158" s="112">
        <v>220511</v>
      </c>
      <c r="M158" s="122" t="str">
        <f t="shared" si="21"/>
        <v>TERVA (EFVA)</v>
      </c>
      <c r="N158" s="266"/>
      <c r="O158" s="266"/>
      <c r="P158" s="266"/>
      <c r="Q158" s="266"/>
      <c r="R158" s="265"/>
      <c r="S158" s="278"/>
      <c r="T158" s="119"/>
      <c r="U158" s="120"/>
      <c r="V158" s="123"/>
      <c r="W158" s="112"/>
      <c r="X158" s="112"/>
      <c r="Y158" s="112"/>
      <c r="AA158" s="112"/>
      <c r="AB158" s="112"/>
      <c r="AC158" s="122"/>
    </row>
    <row r="159" spans="1:29" ht="12.75">
      <c r="A159" s="118" t="s">
        <v>808</v>
      </c>
      <c r="B159" s="119">
        <v>63</v>
      </c>
      <c r="C159" s="120">
        <v>9.4</v>
      </c>
      <c r="D159" s="119" t="str">
        <f t="shared" si="18"/>
        <v>21</v>
      </c>
      <c r="E159" s="120">
        <v>58.6</v>
      </c>
      <c r="F159" s="123" t="s">
        <v>325</v>
      </c>
      <c r="G159" s="112"/>
      <c r="H159" s="112"/>
      <c r="I159" s="112"/>
      <c r="J159" s="114" t="s">
        <v>216</v>
      </c>
      <c r="K159" s="112">
        <v>630928</v>
      </c>
      <c r="L159" s="112">
        <v>215840</v>
      </c>
      <c r="M159" s="122" t="str">
        <f t="shared" si="21"/>
        <v>VASSO (EFVA)</v>
      </c>
      <c r="N159" s="266"/>
      <c r="O159" s="266"/>
      <c r="P159" s="266"/>
      <c r="Q159" s="266"/>
      <c r="R159" s="265"/>
      <c r="S159" s="278"/>
      <c r="T159" s="119"/>
      <c r="U159" s="120"/>
      <c r="V159" s="112"/>
      <c r="W159" s="112"/>
      <c r="X159" s="112"/>
      <c r="Y159" s="112"/>
      <c r="AA159" s="112"/>
      <c r="AB159" s="112"/>
      <c r="AC159" s="122"/>
    </row>
    <row r="160" spans="1:29" ht="12.75">
      <c r="A160" s="118" t="s">
        <v>259</v>
      </c>
      <c r="B160" s="119" t="str">
        <f>LEFT(K160,2)</f>
        <v>59</v>
      </c>
      <c r="C160" s="120">
        <f>MID(K160,3,2)+(RIGHT(K160,2)/60)</f>
        <v>29</v>
      </c>
      <c r="D160" s="119" t="str">
        <f t="shared" si="18"/>
        <v>17</v>
      </c>
      <c r="E160" s="120">
        <f>MID(L160,3,2)+(RIGHT(L160,2)/60)</f>
        <v>52</v>
      </c>
      <c r="F160" s="112" t="s">
        <v>333</v>
      </c>
      <c r="G160" s="112"/>
      <c r="H160" s="112"/>
      <c r="I160" s="112"/>
      <c r="J160" s="114" t="s">
        <v>260</v>
      </c>
      <c r="K160" s="112">
        <v>592900</v>
      </c>
      <c r="L160" s="112">
        <v>175200</v>
      </c>
      <c r="M160" s="122" t="str">
        <f t="shared" si="21"/>
        <v>MASTEN</v>
      </c>
      <c r="N160" s="266"/>
      <c r="O160" s="266"/>
      <c r="P160" s="266"/>
      <c r="Q160" s="266"/>
      <c r="R160" s="265"/>
      <c r="S160" s="278"/>
      <c r="T160" s="119"/>
      <c r="U160" s="120"/>
      <c r="V160" s="123"/>
      <c r="W160" s="112"/>
      <c r="X160" s="112"/>
      <c r="Y160" s="112"/>
      <c r="AA160" s="112"/>
      <c r="AB160" s="112"/>
      <c r="AC160" s="122"/>
    </row>
    <row r="161" spans="1:29" ht="12.75">
      <c r="A161" s="118" t="s">
        <v>788</v>
      </c>
      <c r="B161" s="119" t="str">
        <f>LEFT(K161,2)</f>
        <v>62</v>
      </c>
      <c r="C161" s="120">
        <v>3.7</v>
      </c>
      <c r="D161" s="119" t="str">
        <f t="shared" si="18"/>
        <v>29</v>
      </c>
      <c r="E161" s="120">
        <v>2.7</v>
      </c>
      <c r="F161" s="123" t="s">
        <v>317</v>
      </c>
      <c r="G161" s="112"/>
      <c r="H161" s="112"/>
      <c r="I161" s="112"/>
      <c r="J161" s="114" t="s">
        <v>206</v>
      </c>
      <c r="K161" s="112">
        <v>620343</v>
      </c>
      <c r="L161" s="112">
        <v>290245</v>
      </c>
      <c r="M161" s="122" t="s">
        <v>365</v>
      </c>
      <c r="N161" s="266"/>
      <c r="O161" s="266"/>
      <c r="P161" s="266"/>
      <c r="Q161" s="266"/>
      <c r="R161" s="265"/>
      <c r="S161" s="278"/>
      <c r="T161" s="119"/>
      <c r="U161" s="120"/>
      <c r="V161" s="123"/>
      <c r="W161" s="112"/>
      <c r="X161" s="112"/>
      <c r="Y161" s="112"/>
      <c r="AA161" s="112"/>
      <c r="AB161" s="112"/>
      <c r="AC161" s="122"/>
    </row>
    <row r="162" spans="1:29" ht="12.75">
      <c r="A162" s="118" t="s">
        <v>396</v>
      </c>
      <c r="B162" s="119" t="str">
        <f>LEFT(K162,2)</f>
        <v>67</v>
      </c>
      <c r="C162" s="120">
        <f>MID(K162,3,2)+(RIGHT(K162,2)/60)</f>
        <v>58.05</v>
      </c>
      <c r="D162" s="119" t="str">
        <f t="shared" si="18"/>
        <v>23</v>
      </c>
      <c r="E162" s="120">
        <f>MID(L162,3,2)+(RIGHT(L162,2)/60)</f>
        <v>37.766666666666666</v>
      </c>
      <c r="F162" s="123"/>
      <c r="G162" s="112"/>
      <c r="H162" s="112"/>
      <c r="I162" s="112"/>
      <c r="J162" s="114" t="s">
        <v>391</v>
      </c>
      <c r="K162" s="112">
        <v>675803</v>
      </c>
      <c r="L162" s="112">
        <v>233746</v>
      </c>
      <c r="M162" s="122" t="s">
        <v>396</v>
      </c>
      <c r="N162" s="266"/>
      <c r="O162" s="266"/>
      <c r="P162" s="266"/>
      <c r="Q162" s="266"/>
      <c r="R162" s="265"/>
      <c r="S162" s="278"/>
      <c r="T162" s="119"/>
      <c r="U162" s="120"/>
      <c r="V162" s="123"/>
      <c r="W162" s="112"/>
      <c r="X162" s="112"/>
      <c r="Y162" s="112"/>
      <c r="AA162" s="112"/>
      <c r="AB162" s="112"/>
      <c r="AC162" s="122"/>
    </row>
    <row r="163" spans="1:29" ht="12.75">
      <c r="A163" s="118" t="s">
        <v>743</v>
      </c>
      <c r="B163" s="119">
        <v>64</v>
      </c>
      <c r="C163" s="120">
        <v>25.4</v>
      </c>
      <c r="D163" s="119" t="str">
        <f t="shared" si="18"/>
        <v>27</v>
      </c>
      <c r="E163" s="120">
        <v>50.7</v>
      </c>
      <c r="F163" s="123" t="s">
        <v>294</v>
      </c>
      <c r="G163" s="112"/>
      <c r="H163" s="112"/>
      <c r="I163" s="112"/>
      <c r="J163" s="114" t="s">
        <v>174</v>
      </c>
      <c r="K163" s="112">
        <v>642525</v>
      </c>
      <c r="L163" s="112">
        <v>275041</v>
      </c>
      <c r="M163" s="122" t="s">
        <v>366</v>
      </c>
      <c r="N163" s="266"/>
      <c r="O163" s="266"/>
      <c r="P163" s="266"/>
      <c r="Q163" s="266"/>
      <c r="R163" s="265"/>
      <c r="S163" s="278"/>
      <c r="T163" s="119"/>
      <c r="U163" s="120"/>
      <c r="V163" s="123"/>
      <c r="W163" s="112"/>
      <c r="X163" s="112"/>
      <c r="Y163" s="112"/>
      <c r="AA163" s="112"/>
      <c r="AB163" s="112"/>
      <c r="AC163" s="122"/>
    </row>
    <row r="164" spans="1:29" ht="12.75">
      <c r="A164" s="118" t="s">
        <v>741</v>
      </c>
      <c r="B164" s="119" t="str">
        <f>LEFT(K164,2)</f>
        <v>62</v>
      </c>
      <c r="C164" s="120">
        <v>27.4</v>
      </c>
      <c r="D164" s="119" t="str">
        <f t="shared" si="18"/>
        <v>25</v>
      </c>
      <c r="E164" s="120">
        <v>56.2</v>
      </c>
      <c r="F164" s="123" t="s">
        <v>291</v>
      </c>
      <c r="G164" s="112"/>
      <c r="H164" s="112"/>
      <c r="I164" s="112"/>
      <c r="J164" s="114" t="s">
        <v>245</v>
      </c>
      <c r="K164" s="112">
        <v>622726</v>
      </c>
      <c r="L164" s="112">
        <v>255609</v>
      </c>
      <c r="M164" s="122" t="s">
        <v>412</v>
      </c>
      <c r="N164" s="266"/>
      <c r="O164" s="266"/>
      <c r="P164" s="266"/>
      <c r="Q164" s="266"/>
      <c r="R164" s="265"/>
      <c r="S164" s="278"/>
      <c r="T164" s="119"/>
      <c r="U164" s="120"/>
      <c r="V164" s="123"/>
      <c r="W164" s="112"/>
      <c r="X164" s="112"/>
      <c r="Y164" s="112"/>
      <c r="AA164" s="112"/>
      <c r="AB164" s="112"/>
      <c r="AC164" s="122"/>
    </row>
    <row r="165" spans="1:29" ht="12.75">
      <c r="A165" s="118" t="s">
        <v>802</v>
      </c>
      <c r="B165" s="119">
        <v>61</v>
      </c>
      <c r="C165" s="120">
        <v>2.4</v>
      </c>
      <c r="D165" s="119">
        <v>27</v>
      </c>
      <c r="E165" s="120">
        <v>14.7</v>
      </c>
      <c r="F165" s="123" t="s">
        <v>324</v>
      </c>
      <c r="G165" s="112"/>
      <c r="H165" s="112"/>
      <c r="I165" s="112"/>
      <c r="J165" s="114" t="s">
        <v>215</v>
      </c>
      <c r="K165" s="112">
        <v>610223</v>
      </c>
      <c r="L165" s="112">
        <v>271446</v>
      </c>
      <c r="M165" s="122" t="str">
        <f aca="true" t="shared" si="22" ref="M165:M183">A165</f>
        <v>HERMU (EFUT)</v>
      </c>
      <c r="N165" s="266"/>
      <c r="O165" s="266"/>
      <c r="P165" s="266"/>
      <c r="Q165" s="266"/>
      <c r="R165" s="265"/>
      <c r="S165" s="278"/>
      <c r="T165" s="119"/>
      <c r="U165" s="120"/>
      <c r="V165" s="123"/>
      <c r="W165" s="112"/>
      <c r="X165" s="112"/>
      <c r="Y165" s="112"/>
      <c r="AA165" s="112"/>
      <c r="AB165" s="112"/>
      <c r="AC165" s="122"/>
    </row>
    <row r="166" spans="1:29" ht="12.75">
      <c r="A166" s="118" t="s">
        <v>809</v>
      </c>
      <c r="B166" s="119" t="str">
        <f>LEFT(K166,2)</f>
        <v>62</v>
      </c>
      <c r="C166" s="120">
        <v>5.5</v>
      </c>
      <c r="D166" s="119">
        <v>28</v>
      </c>
      <c r="E166" s="120">
        <v>16.8</v>
      </c>
      <c r="F166" s="123" t="s">
        <v>306</v>
      </c>
      <c r="G166" s="112"/>
      <c r="H166" s="112"/>
      <c r="I166" s="112"/>
      <c r="J166" s="114" t="s">
        <v>220</v>
      </c>
      <c r="K166" s="112">
        <v>620533</v>
      </c>
      <c r="L166" s="112">
        <v>281650</v>
      </c>
      <c r="M166" s="122" t="str">
        <f t="shared" si="22"/>
        <v>LAMPO (EFVR)</v>
      </c>
      <c r="N166" s="266"/>
      <c r="O166" s="266"/>
      <c r="P166" s="266"/>
      <c r="Q166" s="266"/>
      <c r="R166" s="265"/>
      <c r="S166" s="278"/>
      <c r="T166" s="119"/>
      <c r="U166" s="120"/>
      <c r="V166" s="121"/>
      <c r="W166" s="112"/>
      <c r="AA166" s="112"/>
      <c r="AB166" s="112"/>
      <c r="AC166" s="122"/>
    </row>
    <row r="167" spans="1:29" ht="12.75">
      <c r="A167" s="118" t="s">
        <v>380</v>
      </c>
      <c r="B167" s="119" t="str">
        <f>LEFT(K167,2)</f>
        <v>61</v>
      </c>
      <c r="C167" s="120">
        <f>MID(K167,3,2)+(RIGHT(K167,2)/60)</f>
        <v>4</v>
      </c>
      <c r="D167" s="119" t="str">
        <f t="shared" si="18"/>
        <v>21</v>
      </c>
      <c r="E167" s="120">
        <f>MID(L167,3,2)+(RIGHT(L167,2)/60)</f>
        <v>53</v>
      </c>
      <c r="F167" s="121" t="s">
        <v>333</v>
      </c>
      <c r="G167" s="112"/>
      <c r="J167" s="114" t="s">
        <v>381</v>
      </c>
      <c r="K167" s="112">
        <v>610400</v>
      </c>
      <c r="L167" s="112">
        <v>215300</v>
      </c>
      <c r="M167" s="122" t="str">
        <f t="shared" si="22"/>
        <v>NARVIJÄRVI</v>
      </c>
      <c r="N167" s="266"/>
      <c r="O167" s="266"/>
      <c r="P167" s="266"/>
      <c r="Q167" s="266"/>
      <c r="R167" s="265"/>
      <c r="S167" s="278"/>
      <c r="T167" s="119"/>
      <c r="U167" s="120"/>
      <c r="V167" s="121"/>
      <c r="W167" s="112"/>
      <c r="X167" s="112"/>
      <c r="Y167" s="112"/>
      <c r="AA167" s="112"/>
      <c r="AB167" s="112"/>
      <c r="AC167" s="122"/>
    </row>
    <row r="168" spans="1:29" ht="12.75" hidden="1">
      <c r="A168" s="118" t="s">
        <v>270</v>
      </c>
      <c r="B168" s="119" t="str">
        <f>LEFT(K168,2)</f>
        <v>62</v>
      </c>
      <c r="C168" s="120">
        <f>MID(K168,3,2)+(RIGHT(K168,2)/60)</f>
        <v>37.93333333333333</v>
      </c>
      <c r="D168" s="119" t="str">
        <f t="shared" si="18"/>
        <v>23</v>
      </c>
      <c r="E168" s="120">
        <f>MID(L168,3,2)+(RIGHT(L168,2)/60)</f>
        <v>19.766666666666666</v>
      </c>
      <c r="F168" s="121" t="s">
        <v>277</v>
      </c>
      <c r="G168" s="112"/>
      <c r="H168" s="112"/>
      <c r="I168" s="112"/>
      <c r="J168" s="114" t="s">
        <v>52</v>
      </c>
      <c r="K168" s="112">
        <v>623756</v>
      </c>
      <c r="L168" s="112">
        <v>231946</v>
      </c>
      <c r="M168" s="122" t="str">
        <f t="shared" si="22"/>
        <v>NIINI (EFSI)</v>
      </c>
      <c r="N168" s="266"/>
      <c r="O168" s="266"/>
      <c r="P168" s="266"/>
      <c r="Q168" s="266"/>
      <c r="R168" s="265"/>
      <c r="S168" s="278"/>
      <c r="T168" s="119"/>
      <c r="U168" s="120"/>
      <c r="V168" s="121"/>
      <c r="W168" s="112"/>
      <c r="X168" s="112"/>
      <c r="Y168" s="112"/>
      <c r="AA168" s="112"/>
      <c r="AB168" s="112"/>
      <c r="AC168" s="122"/>
    </row>
    <row r="169" spans="1:29" ht="12.75">
      <c r="A169" s="118" t="s">
        <v>763</v>
      </c>
      <c r="B169" s="119">
        <v>65</v>
      </c>
      <c r="C169" s="120">
        <v>48.3</v>
      </c>
      <c r="D169" s="119">
        <v>29</v>
      </c>
      <c r="E169" s="120">
        <v>16.5</v>
      </c>
      <c r="F169" s="121" t="s">
        <v>695</v>
      </c>
      <c r="G169" s="112"/>
      <c r="H169" s="112"/>
      <c r="I169" s="112"/>
      <c r="J169" s="114" t="s">
        <v>178</v>
      </c>
      <c r="K169" s="112">
        <v>654821</v>
      </c>
      <c r="L169" s="112">
        <v>291630</v>
      </c>
      <c r="M169" s="122" t="s">
        <v>697</v>
      </c>
      <c r="N169" s="266"/>
      <c r="O169" s="266"/>
      <c r="P169" s="266"/>
      <c r="Q169" s="266"/>
      <c r="R169" s="265"/>
      <c r="S169" s="278"/>
      <c r="T169" s="119"/>
      <c r="U169" s="120"/>
      <c r="V169" s="121"/>
      <c r="W169" s="112"/>
      <c r="X169" s="112"/>
      <c r="Y169" s="112"/>
      <c r="AA169" s="112"/>
      <c r="AB169" s="112"/>
      <c r="AC169" s="122"/>
    </row>
    <row r="170" spans="1:29" ht="12.75">
      <c r="A170" s="118" t="s">
        <v>744</v>
      </c>
      <c r="B170" s="119">
        <v>64</v>
      </c>
      <c r="C170" s="120">
        <v>22.8</v>
      </c>
      <c r="D170" s="119">
        <v>27</v>
      </c>
      <c r="E170" s="120">
        <v>17.9</v>
      </c>
      <c r="F170" s="121" t="s">
        <v>294</v>
      </c>
      <c r="G170" s="112"/>
      <c r="H170" s="112"/>
      <c r="I170" s="112"/>
      <c r="J170" s="114" t="s">
        <v>174</v>
      </c>
      <c r="K170" s="112">
        <v>642249</v>
      </c>
      <c r="L170" s="112">
        <v>271758</v>
      </c>
      <c r="M170" s="298" t="s">
        <v>698</v>
      </c>
      <c r="N170" s="266"/>
      <c r="O170" s="266"/>
      <c r="P170" s="266"/>
      <c r="Q170" s="266"/>
      <c r="R170" s="265"/>
      <c r="S170" s="278"/>
      <c r="T170" s="119"/>
      <c r="U170" s="120"/>
      <c r="V170" s="121"/>
      <c r="W170" s="112"/>
      <c r="X170" s="112"/>
      <c r="Y170" s="112"/>
      <c r="AA170" s="112"/>
      <c r="AB170" s="112"/>
      <c r="AC170" s="122"/>
    </row>
    <row r="171" spans="1:29" ht="12.75">
      <c r="A171" s="118" t="s">
        <v>737</v>
      </c>
      <c r="B171" s="119" t="str">
        <f>LEFT(K171,2)</f>
        <v>62</v>
      </c>
      <c r="C171" s="120">
        <v>50.7</v>
      </c>
      <c r="D171" s="119" t="str">
        <f t="shared" si="18"/>
        <v>29</v>
      </c>
      <c r="E171" s="120">
        <v>19</v>
      </c>
      <c r="F171" s="121" t="s">
        <v>290</v>
      </c>
      <c r="G171" s="112"/>
      <c r="H171" s="112"/>
      <c r="I171" s="112"/>
      <c r="J171" s="114" t="s">
        <v>80</v>
      </c>
      <c r="K171" s="112">
        <v>625040</v>
      </c>
      <c r="L171" s="112">
        <v>291901</v>
      </c>
      <c r="M171" s="122" t="str">
        <f t="shared" si="22"/>
        <v>POLVI (EFJO)</v>
      </c>
      <c r="N171" s="266"/>
      <c r="O171" s="266"/>
      <c r="P171" s="266"/>
      <c r="Q171" s="266"/>
      <c r="R171" s="265"/>
      <c r="S171" s="278"/>
      <c r="T171" s="119"/>
      <c r="U171" s="120"/>
      <c r="V171" s="121"/>
      <c r="W171" s="112"/>
      <c r="X171" s="112"/>
      <c r="Y171" s="112"/>
      <c r="AA171" s="112"/>
      <c r="AB171" s="112"/>
      <c r="AC171" s="122"/>
    </row>
    <row r="172" spans="1:29" ht="12.75">
      <c r="A172" s="118" t="s">
        <v>815</v>
      </c>
      <c r="B172" s="119">
        <v>60</v>
      </c>
      <c r="C172" s="120">
        <v>11.9</v>
      </c>
      <c r="D172" s="119">
        <v>25</v>
      </c>
      <c r="E172" s="120">
        <v>5.4</v>
      </c>
      <c r="F172" s="121" t="s">
        <v>816</v>
      </c>
      <c r="G172" s="112"/>
      <c r="H172" s="112"/>
      <c r="I172" s="112"/>
      <c r="J172" s="114" t="s">
        <v>59</v>
      </c>
      <c r="K172" s="112">
        <v>601156</v>
      </c>
      <c r="L172" s="112">
        <v>250526</v>
      </c>
      <c r="M172" s="122" t="s">
        <v>815</v>
      </c>
      <c r="N172" s="266"/>
      <c r="O172" s="266"/>
      <c r="P172" s="266"/>
      <c r="Q172" s="266"/>
      <c r="R172" s="265"/>
      <c r="S172" s="278"/>
      <c r="T172" s="119"/>
      <c r="U172" s="120"/>
      <c r="V172" s="121"/>
      <c r="W172" s="112"/>
      <c r="X172" s="112"/>
      <c r="Y172" s="112"/>
      <c r="AA172" s="112"/>
      <c r="AB172" s="112"/>
      <c r="AC172" s="122"/>
    </row>
    <row r="173" spans="1:29" ht="12.75">
      <c r="A173" s="118" t="s">
        <v>271</v>
      </c>
      <c r="B173" s="119" t="str">
        <f aca="true" t="shared" si="23" ref="B173:B180">LEFT(K173,2)</f>
        <v>60</v>
      </c>
      <c r="C173" s="120">
        <f>MID(K173,3,2)+(RIGHT(K173,2)/60)</f>
        <v>11</v>
      </c>
      <c r="D173" s="119" t="str">
        <f t="shared" si="18"/>
        <v>25</v>
      </c>
      <c r="E173" s="120">
        <f>MID(L173,3,2)+(RIGHT(L173,2)/60)</f>
        <v>1.35</v>
      </c>
      <c r="F173" s="121" t="s">
        <v>281</v>
      </c>
      <c r="G173" s="112"/>
      <c r="H173" s="112"/>
      <c r="I173" s="112"/>
      <c r="J173" s="114" t="s">
        <v>59</v>
      </c>
      <c r="K173" s="112">
        <v>601100</v>
      </c>
      <c r="L173" s="112">
        <v>250121</v>
      </c>
      <c r="M173" s="122" t="str">
        <f t="shared" si="22"/>
        <v>NOKKA (EFHF)</v>
      </c>
      <c r="N173" s="266"/>
      <c r="O173" s="266"/>
      <c r="P173" s="266"/>
      <c r="Q173" s="266"/>
      <c r="R173" s="265"/>
      <c r="S173" s="278"/>
      <c r="T173" s="119"/>
      <c r="U173" s="120"/>
      <c r="V173" s="123"/>
      <c r="W173" s="112"/>
      <c r="X173" s="112"/>
      <c r="Y173" s="112"/>
      <c r="AA173" s="112"/>
      <c r="AB173" s="112"/>
      <c r="AC173" s="122"/>
    </row>
    <row r="174" spans="1:29" ht="12.75">
      <c r="A174" s="118" t="s">
        <v>782</v>
      </c>
      <c r="B174" s="119" t="str">
        <f t="shared" si="23"/>
        <v>61</v>
      </c>
      <c r="C174" s="120">
        <v>37</v>
      </c>
      <c r="D174" s="119" t="str">
        <f t="shared" si="18"/>
        <v>21</v>
      </c>
      <c r="E174" s="120">
        <v>46.7</v>
      </c>
      <c r="F174" s="123" t="s">
        <v>383</v>
      </c>
      <c r="G174" s="112"/>
      <c r="H174" s="112"/>
      <c r="I174" s="112"/>
      <c r="J174" s="114" t="s">
        <v>197</v>
      </c>
      <c r="K174" s="112">
        <v>613719</v>
      </c>
      <c r="L174" s="112">
        <v>214643</v>
      </c>
      <c r="M174" s="122" t="str">
        <f t="shared" si="22"/>
        <v>SIRMA (EFPO)</v>
      </c>
      <c r="N174" s="266"/>
      <c r="O174" s="266"/>
      <c r="P174" s="266"/>
      <c r="Q174" s="266"/>
      <c r="R174" s="265"/>
      <c r="S174" s="278"/>
      <c r="T174" s="119"/>
      <c r="U174" s="120"/>
      <c r="V174" s="123"/>
      <c r="W174" s="112"/>
      <c r="X174" s="112"/>
      <c r="Y174" s="112"/>
      <c r="AA174" s="112"/>
      <c r="AB174" s="112"/>
      <c r="AC174" s="122"/>
    </row>
    <row r="175" spans="1:29" ht="12.75">
      <c r="A175" s="118" t="s">
        <v>793</v>
      </c>
      <c r="B175" s="119" t="str">
        <f t="shared" si="23"/>
        <v>62</v>
      </c>
      <c r="C175" s="120">
        <v>38.8</v>
      </c>
      <c r="D175" s="119">
        <v>23</v>
      </c>
      <c r="E175" s="120">
        <v>17.9</v>
      </c>
      <c r="F175" s="123" t="s">
        <v>318</v>
      </c>
      <c r="G175" s="112"/>
      <c r="H175" s="112"/>
      <c r="I175" s="112"/>
      <c r="J175" s="114" t="s">
        <v>208</v>
      </c>
      <c r="K175" s="112">
        <v>623850</v>
      </c>
      <c r="L175" s="112">
        <v>231757</v>
      </c>
      <c r="M175" s="122" t="str">
        <f t="shared" si="22"/>
        <v>KUORA (EFSI)</v>
      </c>
      <c r="N175" s="266"/>
      <c r="O175" s="266"/>
      <c r="P175" s="266"/>
      <c r="Q175" s="266"/>
      <c r="R175" s="265"/>
      <c r="S175" s="278"/>
      <c r="T175" s="119"/>
      <c r="U175" s="120"/>
      <c r="V175" s="123"/>
      <c r="W175" s="112"/>
      <c r="X175" s="112"/>
      <c r="Y175" s="112"/>
      <c r="AA175" s="112"/>
      <c r="AB175" s="112"/>
      <c r="AC175" s="122"/>
    </row>
    <row r="176" spans="1:29" ht="12.75">
      <c r="A176" s="118" t="s">
        <v>786</v>
      </c>
      <c r="B176" s="119" t="str">
        <f t="shared" si="23"/>
        <v>66</v>
      </c>
      <c r="C176" s="120">
        <v>34.4</v>
      </c>
      <c r="D176" s="119" t="str">
        <f t="shared" si="18"/>
        <v>25</v>
      </c>
      <c r="E176" s="120">
        <v>26.6</v>
      </c>
      <c r="F176" s="123" t="s">
        <v>314</v>
      </c>
      <c r="G176" s="112"/>
      <c r="H176" s="112"/>
      <c r="I176" s="112"/>
      <c r="J176" s="114" t="s">
        <v>202</v>
      </c>
      <c r="K176" s="112">
        <v>663427</v>
      </c>
      <c r="L176" s="112">
        <v>252639</v>
      </c>
      <c r="M176" s="122" t="str">
        <f t="shared" si="22"/>
        <v>SONKA (EFRO)</v>
      </c>
      <c r="N176" s="266"/>
      <c r="O176" s="266"/>
      <c r="P176" s="266"/>
      <c r="Q176" s="266"/>
      <c r="R176" s="265"/>
      <c r="S176" s="278"/>
      <c r="T176" s="119"/>
      <c r="U176" s="120"/>
      <c r="V176" s="123"/>
      <c r="W176" s="112"/>
      <c r="Z176" s="122"/>
      <c r="AA176" s="112"/>
      <c r="AB176" s="112"/>
      <c r="AC176" s="122"/>
    </row>
    <row r="177" spans="1:29" ht="12.75">
      <c r="A177" s="118" t="s">
        <v>379</v>
      </c>
      <c r="B177" s="119" t="str">
        <f t="shared" si="23"/>
        <v>62</v>
      </c>
      <c r="C177" s="120">
        <f>MID(K177,3,2)+(RIGHT(K177,2)/60)</f>
        <v>17</v>
      </c>
      <c r="D177" s="119" t="str">
        <f t="shared" si="18"/>
        <v>22</v>
      </c>
      <c r="E177" s="120">
        <f>MID(L177,3,2)+(RIGHT(L177,2)/60)</f>
        <v>26</v>
      </c>
      <c r="F177" s="123" t="s">
        <v>332</v>
      </c>
      <c r="G177" s="112"/>
      <c r="J177" s="122" t="s">
        <v>379</v>
      </c>
      <c r="K177" s="112">
        <v>621700</v>
      </c>
      <c r="L177" s="112">
        <v>222600</v>
      </c>
      <c r="M177" s="122" t="str">
        <f t="shared" si="22"/>
        <v>NUMMIJÄRVI</v>
      </c>
      <c r="N177" s="266"/>
      <c r="O177" s="266"/>
      <c r="P177" s="266"/>
      <c r="Q177" s="266"/>
      <c r="R177" s="265"/>
      <c r="S177" s="278"/>
      <c r="T177" s="119"/>
      <c r="U177" s="120"/>
      <c r="V177" s="123"/>
      <c r="W177" s="112"/>
      <c r="X177" s="112"/>
      <c r="Y177" s="112"/>
      <c r="AA177" s="112"/>
      <c r="AB177" s="112"/>
      <c r="AC177" s="122"/>
    </row>
    <row r="178" spans="1:29" ht="12.75">
      <c r="A178" s="118" t="s">
        <v>731</v>
      </c>
      <c r="B178" s="119" t="str">
        <f t="shared" si="23"/>
        <v>68</v>
      </c>
      <c r="C178" s="120">
        <v>23.1</v>
      </c>
      <c r="D178" s="119" t="str">
        <f t="shared" si="18"/>
        <v>23</v>
      </c>
      <c r="E178" s="120">
        <v>3.4</v>
      </c>
      <c r="F178" s="121" t="s">
        <v>277</v>
      </c>
      <c r="G178" s="112"/>
      <c r="H178" s="112"/>
      <c r="I178" s="112"/>
      <c r="J178" s="114" t="s">
        <v>368</v>
      </c>
      <c r="K178" s="112">
        <v>682306</v>
      </c>
      <c r="L178" s="112">
        <v>230325</v>
      </c>
      <c r="M178" s="122" t="str">
        <f t="shared" si="22"/>
        <v>HIRVA (EFET)</v>
      </c>
      <c r="N178" s="266"/>
      <c r="O178" s="266"/>
      <c r="P178" s="266"/>
      <c r="Q178" s="266"/>
      <c r="R178" s="265"/>
      <c r="S178" s="278"/>
      <c r="T178" s="119"/>
      <c r="U178" s="120"/>
      <c r="V178" s="123"/>
      <c r="W178" s="112"/>
      <c r="X178" s="112"/>
      <c r="Y178" s="112"/>
      <c r="Z178" s="125"/>
      <c r="AA178" s="112"/>
      <c r="AB178" s="112"/>
      <c r="AC178" s="122"/>
    </row>
    <row r="179" spans="1:29" ht="12.75">
      <c r="A179" s="118" t="s">
        <v>145</v>
      </c>
      <c r="B179" s="119" t="str">
        <f t="shared" si="23"/>
        <v>60</v>
      </c>
      <c r="C179" s="120">
        <f>MID(K179,3,2)+(RIGHT(K179,2)/60)</f>
        <v>34.8</v>
      </c>
      <c r="D179" s="119" t="str">
        <f t="shared" si="18"/>
        <v>25</v>
      </c>
      <c r="E179" s="120">
        <f>MID(L179,3,2)+(RIGHT(L179,2)/60)</f>
        <v>8.5</v>
      </c>
      <c r="F179" s="123"/>
      <c r="G179" s="112"/>
      <c r="H179" s="112"/>
      <c r="I179" s="112"/>
      <c r="J179" s="125"/>
      <c r="K179" s="112">
        <v>603448</v>
      </c>
      <c r="L179" s="112">
        <v>250830</v>
      </c>
      <c r="M179" s="122" t="str">
        <f t="shared" si="22"/>
        <v>OHKO</v>
      </c>
      <c r="N179" s="266"/>
      <c r="O179" s="266"/>
      <c r="P179" s="266"/>
      <c r="Q179" s="266"/>
      <c r="R179" s="265"/>
      <c r="S179" s="278"/>
      <c r="T179" s="119"/>
      <c r="U179" s="120"/>
      <c r="V179" s="123"/>
      <c r="W179" s="112"/>
      <c r="X179" s="112"/>
      <c r="Y179" s="112"/>
      <c r="AA179" s="112"/>
      <c r="AB179" s="112"/>
      <c r="AC179" s="122"/>
    </row>
    <row r="180" spans="1:29" ht="12.75">
      <c r="A180" s="118" t="s">
        <v>783</v>
      </c>
      <c r="B180" s="119" t="str">
        <f t="shared" si="23"/>
        <v>66</v>
      </c>
      <c r="C180" s="120">
        <v>30.5</v>
      </c>
      <c r="D180" s="119" t="str">
        <f t="shared" si="18"/>
        <v>26</v>
      </c>
      <c r="E180" s="120">
        <v>7</v>
      </c>
      <c r="F180" s="123" t="s">
        <v>314</v>
      </c>
      <c r="G180" s="112"/>
      <c r="H180" s="112"/>
      <c r="I180" s="112"/>
      <c r="J180" s="114" t="s">
        <v>202</v>
      </c>
      <c r="K180" s="112">
        <v>663032</v>
      </c>
      <c r="L180" s="112">
        <v>260701</v>
      </c>
      <c r="M180" s="122" t="str">
        <f t="shared" si="22"/>
        <v>HEINU (EFRO)</v>
      </c>
      <c r="N180" s="266"/>
      <c r="O180" s="266"/>
      <c r="P180" s="266"/>
      <c r="Q180" s="266"/>
      <c r="R180" s="265"/>
      <c r="S180" s="278"/>
      <c r="T180" s="119"/>
      <c r="U180" s="120"/>
      <c r="V180" s="123"/>
      <c r="W180" s="112"/>
      <c r="X180" s="112"/>
      <c r="Y180" s="112"/>
      <c r="AA180" s="112"/>
      <c r="AB180" s="112"/>
      <c r="AC180" s="122"/>
    </row>
    <row r="181" spans="1:29" ht="12.75">
      <c r="A181" s="118" t="s">
        <v>789</v>
      </c>
      <c r="B181" s="119">
        <v>61</v>
      </c>
      <c r="C181" s="120">
        <v>46.6</v>
      </c>
      <c r="D181" s="119" t="str">
        <f t="shared" si="18"/>
        <v>28</v>
      </c>
      <c r="E181" s="120">
        <v>58.9</v>
      </c>
      <c r="F181" s="123" t="s">
        <v>317</v>
      </c>
      <c r="G181" s="112"/>
      <c r="H181" s="112"/>
      <c r="I181" s="112"/>
      <c r="J181" s="114" t="s">
        <v>206</v>
      </c>
      <c r="K181" s="112">
        <v>614637</v>
      </c>
      <c r="L181" s="112">
        <v>285856</v>
      </c>
      <c r="M181" s="122" t="str">
        <f t="shared" si="22"/>
        <v>IKOIN (EFSA)</v>
      </c>
      <c r="N181" s="266"/>
      <c r="O181" s="266"/>
      <c r="P181" s="266"/>
      <c r="Q181" s="266"/>
      <c r="R181" s="265"/>
      <c r="S181" s="278"/>
      <c r="T181" s="119"/>
      <c r="U181" s="120"/>
      <c r="V181" s="123"/>
      <c r="W181" s="112"/>
      <c r="X181" s="112"/>
      <c r="Y181" s="112"/>
      <c r="AA181" s="112"/>
      <c r="AB181" s="112"/>
      <c r="AC181" s="122"/>
    </row>
    <row r="182" spans="1:29" ht="12.75" hidden="1">
      <c r="A182" s="118" t="s">
        <v>272</v>
      </c>
      <c r="B182" s="119" t="str">
        <f>LEFT(K182,2)</f>
        <v>62</v>
      </c>
      <c r="C182" s="120">
        <f>MID(K182,3,2)+(RIGHT(K182,2)/60)</f>
        <v>2.8666666666666667</v>
      </c>
      <c r="D182" s="119" t="str">
        <f t="shared" si="18"/>
        <v>28</v>
      </c>
      <c r="E182" s="120">
        <f>MID(L182,3,2)+(RIGHT(L182,2)/60)</f>
        <v>17.6</v>
      </c>
      <c r="F182" s="123" t="s">
        <v>317</v>
      </c>
      <c r="G182" s="112"/>
      <c r="H182" s="112"/>
      <c r="I182" s="112"/>
      <c r="J182" s="114" t="s">
        <v>206</v>
      </c>
      <c r="K182" s="112">
        <v>620252</v>
      </c>
      <c r="L182" s="112">
        <v>281736</v>
      </c>
      <c r="M182" s="122" t="str">
        <f t="shared" si="22"/>
        <v>OSIKO (EFVR)</v>
      </c>
      <c r="N182" s="266"/>
      <c r="O182" s="266"/>
      <c r="P182" s="266"/>
      <c r="Q182" s="266"/>
      <c r="R182" s="265"/>
      <c r="S182" s="278"/>
      <c r="T182" s="119"/>
      <c r="U182" s="120"/>
      <c r="V182" s="123"/>
      <c r="W182" s="112"/>
      <c r="X182" s="112"/>
      <c r="Y182" s="112"/>
      <c r="AA182" s="112"/>
      <c r="AB182" s="112"/>
      <c r="AC182" s="122"/>
    </row>
    <row r="183" spans="1:29" ht="12.75">
      <c r="A183" s="118" t="s">
        <v>772</v>
      </c>
      <c r="B183" s="119" t="str">
        <f>LEFT(K183,2)</f>
        <v>61</v>
      </c>
      <c r="C183" s="120">
        <v>45.2</v>
      </c>
      <c r="D183" s="119" t="str">
        <f t="shared" si="18"/>
        <v>27</v>
      </c>
      <c r="E183" s="120">
        <v>32.8</v>
      </c>
      <c r="F183" s="123" t="s">
        <v>310</v>
      </c>
      <c r="G183" s="112"/>
      <c r="H183" s="112"/>
      <c r="I183" s="112"/>
      <c r="J183" s="114" t="s">
        <v>187</v>
      </c>
      <c r="K183" s="112">
        <v>614510</v>
      </c>
      <c r="L183" s="112">
        <v>273250</v>
      </c>
      <c r="M183" s="122" t="str">
        <f t="shared" si="22"/>
        <v>LINKI (EFMI)</v>
      </c>
      <c r="N183" s="266"/>
      <c r="O183" s="266"/>
      <c r="P183" s="266"/>
      <c r="Q183" s="266"/>
      <c r="R183" s="265"/>
      <c r="S183" s="278"/>
      <c r="T183" s="119"/>
      <c r="U183" s="120"/>
      <c r="V183" s="123"/>
      <c r="W183" s="112"/>
      <c r="X183" s="112"/>
      <c r="Y183" s="112"/>
      <c r="AA183" s="112"/>
      <c r="AB183" s="112"/>
      <c r="AC183" s="122"/>
    </row>
    <row r="184" spans="1:29" ht="12.75">
      <c r="A184" s="118" t="s">
        <v>397</v>
      </c>
      <c r="B184" s="119" t="str">
        <f aca="true" t="shared" si="24" ref="B184:B238">LEFT(K184,2)</f>
        <v>68</v>
      </c>
      <c r="C184" s="120">
        <f>MID(K184,3,2)+(RIGHT(K184,2)/60)</f>
        <v>39.81666666666667</v>
      </c>
      <c r="D184" s="119" t="str">
        <f aca="true" t="shared" si="25" ref="D184:D238">LEFT(L184,2)</f>
        <v>23</v>
      </c>
      <c r="E184" s="120">
        <f>MID(L184,3,2)+(RIGHT(L184,2)/60)</f>
        <v>19.1</v>
      </c>
      <c r="F184" s="123"/>
      <c r="G184" s="112"/>
      <c r="H184" s="112"/>
      <c r="I184" s="112"/>
      <c r="J184" s="114" t="s">
        <v>391</v>
      </c>
      <c r="K184" s="112">
        <v>683949</v>
      </c>
      <c r="L184" s="112">
        <v>231906</v>
      </c>
      <c r="M184" s="122" t="s">
        <v>397</v>
      </c>
      <c r="N184" s="266"/>
      <c r="O184" s="266"/>
      <c r="P184" s="266"/>
      <c r="Q184" s="266"/>
      <c r="R184" s="265"/>
      <c r="S184" s="278"/>
      <c r="T184" s="119"/>
      <c r="U184" s="120"/>
      <c r="V184" s="123"/>
      <c r="W184" s="112"/>
      <c r="X184" s="112"/>
      <c r="Y184" s="112"/>
      <c r="AA184" s="112"/>
      <c r="AB184" s="112"/>
      <c r="AC184" s="122"/>
    </row>
    <row r="185" spans="1:29" ht="12.75">
      <c r="A185" s="118" t="s">
        <v>428</v>
      </c>
      <c r="B185" s="119" t="str">
        <f>LEFT(K185,2)</f>
        <v>61</v>
      </c>
      <c r="C185" s="120">
        <f>MID(K185,3,2)+(RIGHT(K185,2)/60)</f>
        <v>22</v>
      </c>
      <c r="D185" s="119" t="str">
        <f t="shared" si="18"/>
        <v>25</v>
      </c>
      <c r="E185" s="120">
        <f>MID(L185,3,2)+(RIGHT(L185,2)/60)</f>
        <v>18</v>
      </c>
      <c r="F185" s="123" t="s">
        <v>247</v>
      </c>
      <c r="G185" s="112"/>
      <c r="H185" s="112"/>
      <c r="I185" s="112" t="s">
        <v>371</v>
      </c>
      <c r="J185" s="125" t="s">
        <v>429</v>
      </c>
      <c r="K185" s="112">
        <v>612200</v>
      </c>
      <c r="L185" s="112">
        <v>251800</v>
      </c>
      <c r="M185" s="122" t="str">
        <f>A185</f>
        <v>PADASJ</v>
      </c>
      <c r="N185" s="266"/>
      <c r="O185" s="266"/>
      <c r="P185" s="266"/>
      <c r="Q185" s="266"/>
      <c r="R185" s="265"/>
      <c r="S185" s="278"/>
      <c r="T185" s="119"/>
      <c r="U185" s="120"/>
      <c r="V185" s="123"/>
      <c r="W185" s="112"/>
      <c r="X185" s="112"/>
      <c r="Y185" s="112"/>
      <c r="AA185" s="112"/>
      <c r="AB185" s="112"/>
      <c r="AC185" s="122"/>
    </row>
    <row r="186" spans="1:29" ht="12.75">
      <c r="A186" s="118" t="s">
        <v>799</v>
      </c>
      <c r="B186" s="119" t="str">
        <f>LEFT(K186,2)</f>
        <v>60</v>
      </c>
      <c r="C186" s="120">
        <v>22.9</v>
      </c>
      <c r="D186" s="119">
        <v>22</v>
      </c>
      <c r="E186" s="120">
        <v>7.1</v>
      </c>
      <c r="F186" s="123" t="s">
        <v>322</v>
      </c>
      <c r="G186" s="112"/>
      <c r="H186" s="112"/>
      <c r="I186" s="112"/>
      <c r="J186" s="114" t="s">
        <v>214</v>
      </c>
      <c r="K186" s="112">
        <v>602254</v>
      </c>
      <c r="L186" s="112">
        <v>220707</v>
      </c>
      <c r="M186" s="122" t="str">
        <f>A186</f>
        <v>KIHTI (EFTU)</v>
      </c>
      <c r="N186" s="266"/>
      <c r="O186" s="266"/>
      <c r="P186" s="266"/>
      <c r="Q186" s="266"/>
      <c r="R186" s="265"/>
      <c r="S186" s="278"/>
      <c r="T186" s="119"/>
      <c r="U186" s="120"/>
      <c r="V186" s="123"/>
      <c r="W186" s="112"/>
      <c r="X186" s="112"/>
      <c r="Y186" s="112"/>
      <c r="AA186" s="112"/>
      <c r="AB186" s="112"/>
      <c r="AC186" s="122"/>
    </row>
    <row r="187" spans="1:29" ht="12.75">
      <c r="A187" s="118" t="s">
        <v>704</v>
      </c>
      <c r="B187" s="119">
        <v>61</v>
      </c>
      <c r="C187" s="120">
        <v>59.5</v>
      </c>
      <c r="D187" s="119">
        <v>23</v>
      </c>
      <c r="E187" s="120">
        <v>1</v>
      </c>
      <c r="F187" s="114" t="s">
        <v>705</v>
      </c>
      <c r="J187" s="114" t="s">
        <v>704</v>
      </c>
      <c r="K187" s="112">
        <v>615934</v>
      </c>
      <c r="L187" s="112">
        <v>230101</v>
      </c>
      <c r="M187" s="122" t="str">
        <f>A187</f>
        <v>PARKANO</v>
      </c>
      <c r="N187" s="266"/>
      <c r="O187" s="266"/>
      <c r="P187" s="266"/>
      <c r="Q187" s="266"/>
      <c r="R187" s="265"/>
      <c r="S187" s="278"/>
      <c r="T187" s="119"/>
      <c r="U187" s="120"/>
      <c r="V187" s="123"/>
      <c r="W187" s="112"/>
      <c r="X187" s="112"/>
      <c r="Y187" s="112"/>
      <c r="AA187" s="112"/>
      <c r="AB187" s="112"/>
      <c r="AC187" s="122"/>
    </row>
    <row r="188" spans="1:29" ht="12.75">
      <c r="A188" s="118" t="s">
        <v>773</v>
      </c>
      <c r="B188" s="119" t="str">
        <f>LEFT(K188,2)</f>
        <v>61</v>
      </c>
      <c r="C188" s="120">
        <v>32.1</v>
      </c>
      <c r="D188" s="119" t="str">
        <f t="shared" si="18"/>
        <v>27</v>
      </c>
      <c r="E188" s="120">
        <v>17</v>
      </c>
      <c r="F188" s="123" t="s">
        <v>310</v>
      </c>
      <c r="G188" s="112"/>
      <c r="H188" s="112"/>
      <c r="I188" s="112"/>
      <c r="J188" s="114" t="s">
        <v>187</v>
      </c>
      <c r="K188" s="112">
        <v>613206</v>
      </c>
      <c r="L188" s="112">
        <v>271702</v>
      </c>
      <c r="M188" s="122" t="str">
        <f>A188</f>
        <v>RISTI (EFMI)</v>
      </c>
      <c r="N188" s="266"/>
      <c r="O188" s="266"/>
      <c r="P188" s="266"/>
      <c r="Q188" s="266"/>
      <c r="R188" s="265"/>
      <c r="S188" s="278"/>
      <c r="T188" s="119"/>
      <c r="U188" s="120"/>
      <c r="V188" s="123"/>
      <c r="W188" s="112"/>
      <c r="X188" s="112"/>
      <c r="Y188" s="112"/>
      <c r="AA188" s="112"/>
      <c r="AB188" s="112"/>
      <c r="AC188" s="122"/>
    </row>
    <row r="189" spans="1:29" ht="12.75">
      <c r="A189" s="118" t="s">
        <v>398</v>
      </c>
      <c r="B189" s="119" t="str">
        <f>LEFT(K189,2)</f>
        <v>66</v>
      </c>
      <c r="C189" s="120">
        <f>MID(K189,3,2)+(RIGHT(K189,2)/60)</f>
        <v>48.2</v>
      </c>
      <c r="D189" s="119" t="str">
        <f t="shared" si="18"/>
        <v>23</v>
      </c>
      <c r="E189" s="120">
        <f>MID(L189,3,2)+(RIGHT(L189,2)/60)</f>
        <v>59.18333333333333</v>
      </c>
      <c r="F189" s="123"/>
      <c r="G189" s="112"/>
      <c r="H189" s="112"/>
      <c r="I189" s="112"/>
      <c r="J189" s="114" t="s">
        <v>391</v>
      </c>
      <c r="K189" s="112">
        <v>664812</v>
      </c>
      <c r="L189" s="112">
        <v>235911</v>
      </c>
      <c r="M189" s="122" t="s">
        <v>398</v>
      </c>
      <c r="N189" s="266"/>
      <c r="O189" s="266"/>
      <c r="P189" s="266"/>
      <c r="Q189" s="266"/>
      <c r="R189" s="265"/>
      <c r="S189" s="278"/>
      <c r="T189" s="119"/>
      <c r="U189" s="120"/>
      <c r="V189" s="123"/>
      <c r="W189" s="112"/>
      <c r="X189" s="112"/>
      <c r="Y189" s="112"/>
      <c r="AA189" s="112"/>
      <c r="AB189" s="112"/>
      <c r="AC189" s="122"/>
    </row>
    <row r="190" spans="1:29" ht="12.75">
      <c r="A190" s="118" t="s">
        <v>794</v>
      </c>
      <c r="B190" s="119" t="str">
        <f>LEFT(K190,2)</f>
        <v>62</v>
      </c>
      <c r="C190" s="120">
        <v>49.8</v>
      </c>
      <c r="D190" s="119" t="str">
        <f t="shared" si="18"/>
        <v>22</v>
      </c>
      <c r="E190" s="120">
        <v>55.1</v>
      </c>
      <c r="F190" s="123" t="s">
        <v>318</v>
      </c>
      <c r="G190" s="112"/>
      <c r="H190" s="112"/>
      <c r="I190" s="112"/>
      <c r="J190" s="114" t="s">
        <v>208</v>
      </c>
      <c r="K190" s="112">
        <v>624951</v>
      </c>
      <c r="L190" s="112">
        <v>225504</v>
      </c>
      <c r="M190" s="122" t="str">
        <f>A190</f>
        <v>NURMO (EFSI)</v>
      </c>
      <c r="N190" s="266"/>
      <c r="O190" s="266"/>
      <c r="P190" s="266"/>
      <c r="Q190" s="266"/>
      <c r="R190" s="265"/>
      <c r="S190" s="278"/>
      <c r="T190" s="119"/>
      <c r="U190" s="120"/>
      <c r="V190" s="123"/>
      <c r="W190" s="112"/>
      <c r="X190" s="112"/>
      <c r="Y190" s="112"/>
      <c r="AA190" s="112"/>
      <c r="AB190" s="112"/>
      <c r="AC190" s="122"/>
    </row>
    <row r="191" spans="1:29" ht="12.75">
      <c r="A191" s="118" t="s">
        <v>732</v>
      </c>
      <c r="B191" s="119" t="str">
        <f>LEFT(K191,2)</f>
        <v>68</v>
      </c>
      <c r="C191" s="120">
        <v>24.8</v>
      </c>
      <c r="D191" s="119" t="str">
        <f t="shared" si="18"/>
        <v>23</v>
      </c>
      <c r="E191" s="120">
        <v>56.1</v>
      </c>
      <c r="F191" s="123" t="s">
        <v>277</v>
      </c>
      <c r="G191" s="112"/>
      <c r="H191" s="112"/>
      <c r="I191" s="112"/>
      <c r="J191" s="114" t="s">
        <v>52</v>
      </c>
      <c r="K191" s="112">
        <v>682450</v>
      </c>
      <c r="L191" s="112">
        <v>235603</v>
      </c>
      <c r="M191" s="122" t="s">
        <v>399</v>
      </c>
      <c r="N191" s="266"/>
      <c r="O191" s="266"/>
      <c r="P191" s="266"/>
      <c r="Q191" s="266"/>
      <c r="R191" s="265"/>
      <c r="S191" s="278"/>
      <c r="T191" s="119"/>
      <c r="U191" s="120"/>
      <c r="V191" s="123"/>
      <c r="W191" s="112"/>
      <c r="X191" s="112"/>
      <c r="Y191" s="112"/>
      <c r="AA191" s="112"/>
      <c r="AB191" s="112"/>
      <c r="AC191" s="122"/>
    </row>
    <row r="192" spans="1:29" ht="12.75">
      <c r="A192" s="118" t="s">
        <v>721</v>
      </c>
      <c r="B192" s="119" t="str">
        <f t="shared" si="24"/>
        <v>68</v>
      </c>
      <c r="C192" s="120" t="s">
        <v>722</v>
      </c>
      <c r="D192" s="119">
        <v>26</v>
      </c>
      <c r="E192" s="120" t="s">
        <v>723</v>
      </c>
      <c r="F192" s="112" t="s">
        <v>291</v>
      </c>
      <c r="G192" s="112"/>
      <c r="H192" s="112"/>
      <c r="I192" s="112"/>
      <c r="J192" s="114" t="s">
        <v>77</v>
      </c>
      <c r="K192" s="112">
        <v>683100</v>
      </c>
      <c r="L192" s="112">
        <v>264906</v>
      </c>
      <c r="M192" s="122" t="str">
        <f>A192</f>
        <v>VASKI (EFIV)</v>
      </c>
      <c r="N192" s="266"/>
      <c r="O192" s="266"/>
      <c r="P192" s="266"/>
      <c r="Q192" s="266"/>
      <c r="R192" s="265"/>
      <c r="S192" s="278"/>
      <c r="T192" s="119"/>
      <c r="U192" s="120"/>
      <c r="V192" s="123"/>
      <c r="W192" s="112"/>
      <c r="X192" s="112"/>
      <c r="Y192" s="112"/>
      <c r="AA192" s="112"/>
      <c r="AB192" s="112"/>
      <c r="AC192" s="122"/>
    </row>
    <row r="193" spans="1:29" ht="12.75">
      <c r="A193" s="118" t="s">
        <v>774</v>
      </c>
      <c r="B193" s="119" t="str">
        <f t="shared" si="24"/>
        <v>61</v>
      </c>
      <c r="C193" s="120">
        <v>35.2</v>
      </c>
      <c r="D193" s="119">
        <v>27</v>
      </c>
      <c r="E193" s="120">
        <v>1.1</v>
      </c>
      <c r="F193" s="123" t="s">
        <v>310</v>
      </c>
      <c r="G193" s="112"/>
      <c r="H193" s="112"/>
      <c r="I193" s="112"/>
      <c r="J193" s="114" t="s">
        <v>187</v>
      </c>
      <c r="K193" s="112">
        <v>613515</v>
      </c>
      <c r="L193" s="112">
        <v>270108</v>
      </c>
      <c r="M193" s="122" t="str">
        <f>A193</f>
        <v>SOLMU (EFMI)</v>
      </c>
      <c r="N193" s="266"/>
      <c r="O193" s="266"/>
      <c r="P193" s="266"/>
      <c r="Q193" s="266"/>
      <c r="R193" s="265"/>
      <c r="S193" s="278"/>
      <c r="T193" s="119"/>
      <c r="U193" s="120"/>
      <c r="V193" s="123"/>
      <c r="W193" s="112"/>
      <c r="X193" s="112"/>
      <c r="Y193" s="112"/>
      <c r="AA193" s="112"/>
      <c r="AB193" s="112"/>
      <c r="AC193" s="122"/>
    </row>
    <row r="194" spans="1:29" ht="12.75">
      <c r="A194" s="118" t="s">
        <v>800</v>
      </c>
      <c r="B194" s="119" t="str">
        <f t="shared" si="24"/>
        <v>60</v>
      </c>
      <c r="C194" s="120">
        <v>39.1</v>
      </c>
      <c r="D194" s="119" t="str">
        <f t="shared" si="25"/>
        <v>22</v>
      </c>
      <c r="E194" s="120">
        <v>33.2</v>
      </c>
      <c r="F194" s="123" t="s">
        <v>322</v>
      </c>
      <c r="G194" s="112"/>
      <c r="H194" s="112"/>
      <c r="I194" s="112"/>
      <c r="J194" s="114" t="s">
        <v>214</v>
      </c>
      <c r="K194" s="112">
        <v>603905</v>
      </c>
      <c r="L194" s="112">
        <v>223309</v>
      </c>
      <c r="M194" s="122" t="str">
        <f>A194</f>
        <v>MANSE (EFTU)</v>
      </c>
      <c r="N194" s="266"/>
      <c r="O194" s="266"/>
      <c r="P194" s="266"/>
      <c r="Q194" s="266"/>
      <c r="R194" s="265"/>
      <c r="S194" s="278"/>
      <c r="T194" s="119"/>
      <c r="U194" s="120"/>
      <c r="V194" s="123"/>
      <c r="W194" s="112"/>
      <c r="X194" s="112"/>
      <c r="Y194" s="112"/>
      <c r="AA194" s="112"/>
      <c r="AB194" s="112"/>
      <c r="AC194" s="122"/>
    </row>
    <row r="195" spans="1:29" ht="12.75">
      <c r="A195" s="118" t="s">
        <v>751</v>
      </c>
      <c r="B195" s="119" t="str">
        <f t="shared" si="24"/>
        <v>67</v>
      </c>
      <c r="C195" s="120">
        <v>51.8</v>
      </c>
      <c r="D195" s="119">
        <v>24</v>
      </c>
      <c r="E195" s="120">
        <v>24.6</v>
      </c>
      <c r="F195" s="123" t="s">
        <v>301</v>
      </c>
      <c r="G195" s="112"/>
      <c r="H195" s="112"/>
      <c r="I195" s="112"/>
      <c r="J195" s="114" t="s">
        <v>179</v>
      </c>
      <c r="K195" s="112">
        <v>675151</v>
      </c>
      <c r="L195" s="112">
        <v>242435</v>
      </c>
      <c r="M195" s="122" t="str">
        <f>A195</f>
        <v>VAARA (EFKT)</v>
      </c>
      <c r="N195" s="266"/>
      <c r="O195" s="266"/>
      <c r="P195" s="266"/>
      <c r="Q195" s="266"/>
      <c r="R195" s="265"/>
      <c r="S195" s="278"/>
      <c r="T195" s="119"/>
      <c r="U195" s="120"/>
      <c r="V195" s="123"/>
      <c r="W195" s="112"/>
      <c r="X195" s="112"/>
      <c r="Y195" s="112"/>
      <c r="AA195" s="112"/>
      <c r="AB195" s="112"/>
      <c r="AC195" s="122"/>
    </row>
    <row r="196" spans="1:29" ht="12.75">
      <c r="A196" s="118" t="s">
        <v>833</v>
      </c>
      <c r="B196" s="119">
        <v>67</v>
      </c>
      <c r="C196" s="120">
        <v>29.3</v>
      </c>
      <c r="D196" s="119">
        <v>24</v>
      </c>
      <c r="E196" s="120">
        <v>38.9</v>
      </c>
      <c r="F196" s="123" t="s">
        <v>301</v>
      </c>
      <c r="G196" s="112"/>
      <c r="H196" s="112"/>
      <c r="I196" s="112"/>
      <c r="J196" s="114" t="s">
        <v>179</v>
      </c>
      <c r="K196" s="112">
        <v>672917</v>
      </c>
      <c r="L196" s="112">
        <v>243858</v>
      </c>
      <c r="M196" s="122" t="s">
        <v>833</v>
      </c>
      <c r="N196" s="266"/>
      <c r="O196" s="266"/>
      <c r="P196" s="266"/>
      <c r="Q196" s="266"/>
      <c r="R196" s="265"/>
      <c r="S196" s="278"/>
      <c r="T196" s="119"/>
      <c r="U196" s="120"/>
      <c r="V196" s="123"/>
      <c r="W196" s="112"/>
      <c r="X196" s="112"/>
      <c r="Y196" s="112"/>
      <c r="AA196" s="112"/>
      <c r="AB196" s="112"/>
      <c r="AC196" s="122"/>
    </row>
    <row r="197" spans="1:29" ht="12.75">
      <c r="A197" s="118" t="s">
        <v>400</v>
      </c>
      <c r="B197" s="119" t="str">
        <f t="shared" si="24"/>
        <v>65</v>
      </c>
      <c r="C197" s="120">
        <f>MID(K197,3,2)+(RIGHT(K197,2)/60)</f>
        <v>45.96666666666667</v>
      </c>
      <c r="D197" s="119" t="str">
        <f t="shared" si="25"/>
        <v>24</v>
      </c>
      <c r="E197" s="120">
        <f>MID(L197,3,2)+(RIGHT(L197,2)/60)</f>
        <v>8.333333333333334</v>
      </c>
      <c r="F197" s="123"/>
      <c r="G197" s="112"/>
      <c r="H197" s="112"/>
      <c r="I197" s="112"/>
      <c r="J197" s="114" t="s">
        <v>391</v>
      </c>
      <c r="K197" s="112">
        <v>654558</v>
      </c>
      <c r="L197" s="112">
        <v>240820</v>
      </c>
      <c r="M197" s="122" t="s">
        <v>400</v>
      </c>
      <c r="N197" s="266"/>
      <c r="O197" s="266"/>
      <c r="P197" s="266"/>
      <c r="Q197" s="266"/>
      <c r="R197" s="265"/>
      <c r="S197" s="278"/>
      <c r="T197" s="119"/>
      <c r="U197" s="120"/>
      <c r="V197" s="123"/>
      <c r="W197" s="112"/>
      <c r="X197" s="112"/>
      <c r="Y197" s="112"/>
      <c r="AA197" s="112"/>
      <c r="AB197" s="112"/>
      <c r="AC197" s="122"/>
    </row>
    <row r="198" spans="1:29" ht="12.75">
      <c r="A198" s="118" t="s">
        <v>764</v>
      </c>
      <c r="B198" s="119">
        <v>66</v>
      </c>
      <c r="C198" s="120">
        <v>2.6</v>
      </c>
      <c r="D198" s="119">
        <v>28</v>
      </c>
      <c r="E198" s="120">
        <v>38.6</v>
      </c>
      <c r="F198" s="123" t="s">
        <v>695</v>
      </c>
      <c r="G198" s="112"/>
      <c r="H198" s="112"/>
      <c r="I198" s="112"/>
      <c r="J198" s="114" t="s">
        <v>178</v>
      </c>
      <c r="K198" s="112">
        <v>660236</v>
      </c>
      <c r="L198" s="112">
        <v>283837</v>
      </c>
      <c r="M198" s="122" t="s">
        <v>699</v>
      </c>
      <c r="N198" s="266"/>
      <c r="O198" s="266"/>
      <c r="P198" s="266"/>
      <c r="Q198" s="266"/>
      <c r="R198" s="265"/>
      <c r="S198" s="278"/>
      <c r="T198" s="119"/>
      <c r="U198" s="120"/>
      <c r="V198" s="123"/>
      <c r="W198" s="112"/>
      <c r="X198" s="112"/>
      <c r="Y198" s="112"/>
      <c r="AA198" s="112"/>
      <c r="AB198" s="112"/>
      <c r="AC198" s="122"/>
    </row>
    <row r="199" spans="1:29" ht="12.75">
      <c r="A199" s="118" t="s">
        <v>767</v>
      </c>
      <c r="B199" s="119" t="str">
        <f t="shared" si="24"/>
        <v>61</v>
      </c>
      <c r="C199" s="120">
        <v>3.1</v>
      </c>
      <c r="D199" s="119" t="str">
        <f t="shared" si="25"/>
        <v>28</v>
      </c>
      <c r="E199" s="120">
        <v>33.7</v>
      </c>
      <c r="F199" s="123" t="s">
        <v>307</v>
      </c>
      <c r="G199" s="112"/>
      <c r="H199" s="112"/>
      <c r="I199" s="112"/>
      <c r="J199" s="114" t="s">
        <v>185</v>
      </c>
      <c r="K199" s="112">
        <v>610306</v>
      </c>
      <c r="L199" s="112">
        <v>283344</v>
      </c>
      <c r="M199" s="122" t="str">
        <f aca="true" t="shared" si="26" ref="M199:M207">A199</f>
        <v>KONTU (EFLP)</v>
      </c>
      <c r="N199" s="266"/>
      <c r="O199" s="266"/>
      <c r="P199" s="266"/>
      <c r="Q199" s="266"/>
      <c r="R199" s="265"/>
      <c r="S199" s="278"/>
      <c r="T199" s="119"/>
      <c r="U199" s="120"/>
      <c r="V199" s="123"/>
      <c r="W199" s="112"/>
      <c r="X199" s="112"/>
      <c r="Y199" s="112"/>
      <c r="AA199" s="112"/>
      <c r="AB199" s="112"/>
      <c r="AC199" s="122"/>
    </row>
    <row r="200" spans="1:29" ht="12.75">
      <c r="A200" s="118" t="s">
        <v>759</v>
      </c>
      <c r="B200" s="119" t="str">
        <f t="shared" si="24"/>
        <v>63</v>
      </c>
      <c r="C200" s="120">
        <v>5.4</v>
      </c>
      <c r="D200" s="119" t="str">
        <f t="shared" si="25"/>
        <v>27</v>
      </c>
      <c r="E200" s="120">
        <v>25.3</v>
      </c>
      <c r="F200" s="123" t="s">
        <v>303</v>
      </c>
      <c r="G200" s="112"/>
      <c r="H200" s="112"/>
      <c r="I200" s="112"/>
      <c r="J200" s="114" t="s">
        <v>180</v>
      </c>
      <c r="K200" s="112">
        <v>630525</v>
      </c>
      <c r="L200" s="112">
        <v>272518</v>
      </c>
      <c r="M200" s="122" t="str">
        <f t="shared" si="26"/>
        <v>MAANI (EFKU)</v>
      </c>
      <c r="N200" s="266"/>
      <c r="O200" s="266"/>
      <c r="P200" s="266"/>
      <c r="Q200" s="266"/>
      <c r="R200" s="265"/>
      <c r="S200" s="278"/>
      <c r="T200" s="119"/>
      <c r="U200" s="120"/>
      <c r="V200" s="123"/>
      <c r="W200" s="112"/>
      <c r="X200" s="112"/>
      <c r="Y200" s="112"/>
      <c r="AA200" s="112"/>
      <c r="AB200" s="112"/>
      <c r="AC200" s="122"/>
    </row>
    <row r="201" spans="1:29" ht="12.75">
      <c r="A201" s="118" t="s">
        <v>803</v>
      </c>
      <c r="B201" s="119" t="str">
        <f t="shared" si="24"/>
        <v>60</v>
      </c>
      <c r="C201" s="120">
        <v>50.9</v>
      </c>
      <c r="D201" s="119" t="str">
        <f t="shared" si="25"/>
        <v>27</v>
      </c>
      <c r="E201" s="120">
        <v>19.6</v>
      </c>
      <c r="F201" s="123" t="s">
        <v>324</v>
      </c>
      <c r="G201" s="112"/>
      <c r="H201" s="112"/>
      <c r="I201" s="112"/>
      <c r="J201" s="114" t="s">
        <v>215</v>
      </c>
      <c r="K201" s="112">
        <v>605053</v>
      </c>
      <c r="L201" s="112">
        <v>271936</v>
      </c>
      <c r="M201" s="122" t="str">
        <f t="shared" si="26"/>
        <v>HONKA(EFUT)</v>
      </c>
      <c r="N201" s="266"/>
      <c r="O201" s="266"/>
      <c r="P201" s="266"/>
      <c r="Q201" s="266"/>
      <c r="R201" s="265"/>
      <c r="S201" s="278"/>
      <c r="T201" s="119"/>
      <c r="U201" s="120"/>
      <c r="V201" s="123"/>
      <c r="W201" s="112"/>
      <c r="X201" s="112"/>
      <c r="Y201" s="112"/>
      <c r="AA201" s="112"/>
      <c r="AB201" s="112"/>
      <c r="AC201" s="122"/>
    </row>
    <row r="202" spans="1:29" ht="12.75">
      <c r="A202" s="118" t="s">
        <v>746</v>
      </c>
      <c r="B202" s="119" t="str">
        <f t="shared" si="24"/>
        <v>65</v>
      </c>
      <c r="C202" s="120">
        <v>40.5</v>
      </c>
      <c r="D202" s="119" t="str">
        <f t="shared" si="25"/>
        <v>24</v>
      </c>
      <c r="E202" s="120">
        <v>51.2</v>
      </c>
      <c r="F202" s="123" t="s">
        <v>298</v>
      </c>
      <c r="G202" s="112"/>
      <c r="H202" s="112"/>
      <c r="I202" s="112"/>
      <c r="J202" s="114" t="s">
        <v>86</v>
      </c>
      <c r="K202" s="112">
        <v>654029</v>
      </c>
      <c r="L202" s="112">
        <v>245110</v>
      </c>
      <c r="M202" s="122" t="str">
        <f t="shared" si="26"/>
        <v>OUKKI (EFKE)</v>
      </c>
      <c r="N202" s="266"/>
      <c r="O202" s="266"/>
      <c r="P202" s="266"/>
      <c r="Q202" s="266"/>
      <c r="R202" s="265"/>
      <c r="S202" s="278"/>
      <c r="T202" s="119"/>
      <c r="U202" s="120"/>
      <c r="V202" s="123"/>
      <c r="W202" s="112"/>
      <c r="X202" s="112"/>
      <c r="Y202" s="112"/>
      <c r="AA202" s="112"/>
      <c r="AB202" s="112"/>
      <c r="AC202" s="122"/>
    </row>
    <row r="203" spans="1:29" ht="12.75">
      <c r="A203" s="118" t="s">
        <v>768</v>
      </c>
      <c r="B203" s="119">
        <v>60</v>
      </c>
      <c r="C203" s="120">
        <v>54.4</v>
      </c>
      <c r="D203" s="119">
        <v>27</v>
      </c>
      <c r="E203" s="120">
        <v>51.3</v>
      </c>
      <c r="F203" s="123" t="s">
        <v>307</v>
      </c>
      <c r="G203" s="112"/>
      <c r="H203" s="112"/>
      <c r="I203" s="112"/>
      <c r="J203" s="114" t="s">
        <v>185</v>
      </c>
      <c r="K203" s="112">
        <v>605427</v>
      </c>
      <c r="L203" s="112">
        <v>275119</v>
      </c>
      <c r="M203" s="122" t="str">
        <f t="shared" si="26"/>
        <v>LENSU (EFLP)</v>
      </c>
      <c r="N203" s="266"/>
      <c r="O203" s="266"/>
      <c r="P203" s="266"/>
      <c r="Q203" s="266"/>
      <c r="R203" s="265"/>
      <c r="S203" s="278"/>
      <c r="T203" s="119"/>
      <c r="U203" s="120"/>
      <c r="V203" s="123"/>
      <c r="W203" s="112"/>
      <c r="X203" s="112"/>
      <c r="Y203" s="112"/>
      <c r="AA203" s="112"/>
      <c r="AB203" s="112"/>
      <c r="AC203" s="122"/>
    </row>
    <row r="204" spans="1:29" ht="12.75">
      <c r="A204" s="118" t="s">
        <v>801</v>
      </c>
      <c r="B204" s="119" t="str">
        <f t="shared" si="24"/>
        <v>60</v>
      </c>
      <c r="C204" s="120">
        <v>37.7</v>
      </c>
      <c r="D204" s="119" t="str">
        <f t="shared" si="25"/>
        <v>22</v>
      </c>
      <c r="E204" s="120">
        <v>3.3</v>
      </c>
      <c r="F204" s="123" t="s">
        <v>322</v>
      </c>
      <c r="G204" s="112"/>
      <c r="H204" s="112"/>
      <c r="I204" s="112"/>
      <c r="J204" s="114" t="s">
        <v>214</v>
      </c>
      <c r="K204" s="112">
        <v>603745</v>
      </c>
      <c r="L204" s="112">
        <v>220317</v>
      </c>
      <c r="M204" s="122" t="str">
        <f t="shared" si="26"/>
        <v>NOUSU (EFTU)</v>
      </c>
      <c r="N204" s="266"/>
      <c r="O204" s="266"/>
      <c r="P204" s="266"/>
      <c r="Q204" s="266"/>
      <c r="R204" s="265"/>
      <c r="S204" s="278"/>
      <c r="T204" s="119"/>
      <c r="U204" s="120"/>
      <c r="V204" s="123"/>
      <c r="W204" s="112"/>
      <c r="X204" s="112"/>
      <c r="Y204" s="112"/>
      <c r="AA204" s="112"/>
      <c r="AB204" s="112"/>
      <c r="AC204" s="122"/>
    </row>
    <row r="205" spans="1:29" ht="12.75">
      <c r="A205" s="118" t="s">
        <v>777</v>
      </c>
      <c r="B205" s="119" t="str">
        <f t="shared" si="24"/>
        <v>64</v>
      </c>
      <c r="C205" s="120">
        <v>50.8</v>
      </c>
      <c r="D205" s="119" t="str">
        <f t="shared" si="25"/>
        <v>25</v>
      </c>
      <c r="E205" s="120">
        <v>6.6</v>
      </c>
      <c r="F205" s="123" t="s">
        <v>312</v>
      </c>
      <c r="G205" s="112"/>
      <c r="H205" s="112"/>
      <c r="I205" s="112"/>
      <c r="J205" s="114" t="s">
        <v>192</v>
      </c>
      <c r="K205" s="112">
        <v>645047</v>
      </c>
      <c r="L205" s="112">
        <v>250638</v>
      </c>
      <c r="M205" s="122" t="str">
        <f t="shared" si="26"/>
        <v>SIIKA (EFOU)</v>
      </c>
      <c r="N205" s="266"/>
      <c r="O205" s="266"/>
      <c r="P205" s="266"/>
      <c r="Q205" s="266"/>
      <c r="R205" s="265"/>
      <c r="S205" s="278"/>
      <c r="T205" s="119"/>
      <c r="U205" s="120"/>
      <c r="V205" s="123"/>
      <c r="W205" s="112"/>
      <c r="X205" s="112"/>
      <c r="Y205" s="112"/>
      <c r="AA205" s="112"/>
      <c r="AB205" s="112"/>
      <c r="AC205" s="122"/>
    </row>
    <row r="206" spans="1:29" ht="12.75">
      <c r="A206" s="118" t="s">
        <v>784</v>
      </c>
      <c r="B206" s="119" t="str">
        <f t="shared" si="24"/>
        <v>66</v>
      </c>
      <c r="C206" s="120">
        <v>40.9</v>
      </c>
      <c r="D206" s="119" t="str">
        <f t="shared" si="25"/>
        <v>25</v>
      </c>
      <c r="E206" s="120">
        <v>39.3</v>
      </c>
      <c r="F206" s="123" t="s">
        <v>314</v>
      </c>
      <c r="G206" s="112"/>
      <c r="H206" s="112"/>
      <c r="I206" s="112"/>
      <c r="J206" s="114" t="s">
        <v>202</v>
      </c>
      <c r="K206" s="112">
        <v>664054</v>
      </c>
      <c r="L206" s="112">
        <v>253916</v>
      </c>
      <c r="M206" s="122" t="str">
        <f t="shared" si="26"/>
        <v>KUKSA (EFRO)</v>
      </c>
      <c r="N206" s="266"/>
      <c r="O206" s="266"/>
      <c r="P206" s="266"/>
      <c r="Q206" s="266"/>
      <c r="R206" s="265"/>
      <c r="S206" s="278"/>
      <c r="T206" s="119"/>
      <c r="U206" s="120"/>
      <c r="V206" s="123"/>
      <c r="W206" s="112"/>
      <c r="X206" s="112"/>
      <c r="Y206" s="112"/>
      <c r="AA206" s="112"/>
      <c r="AB206" s="112"/>
      <c r="AC206" s="122"/>
    </row>
    <row r="207" spans="1:29" ht="12.75">
      <c r="A207" s="118" t="s">
        <v>797</v>
      </c>
      <c r="B207" s="119" t="str">
        <f t="shared" si="24"/>
        <v>61</v>
      </c>
      <c r="C207" s="120">
        <v>18.1</v>
      </c>
      <c r="D207" s="119" t="str">
        <f t="shared" si="25"/>
        <v>23</v>
      </c>
      <c r="E207" s="120">
        <v>43.1</v>
      </c>
      <c r="F207" s="123" t="s">
        <v>314</v>
      </c>
      <c r="G207" s="112"/>
      <c r="H207" s="112"/>
      <c r="I207" s="112"/>
      <c r="J207" s="114" t="s">
        <v>276</v>
      </c>
      <c r="K207" s="112">
        <v>611805</v>
      </c>
      <c r="L207" s="112">
        <v>234303</v>
      </c>
      <c r="M207" s="122" t="str">
        <f t="shared" si="26"/>
        <v>VIILA (EFTP)</v>
      </c>
      <c r="N207" s="266"/>
      <c r="O207" s="266"/>
      <c r="P207" s="266"/>
      <c r="Q207" s="266"/>
      <c r="R207" s="265"/>
      <c r="S207" s="278"/>
      <c r="T207" s="119"/>
      <c r="U207" s="120"/>
      <c r="V207" s="123"/>
      <c r="W207" s="112"/>
      <c r="X207" s="112"/>
      <c r="Y207" s="112"/>
      <c r="AA207" s="112"/>
      <c r="AB207" s="112"/>
      <c r="AC207" s="122"/>
    </row>
    <row r="208" spans="1:29" ht="12.75">
      <c r="A208" s="118" t="s">
        <v>745</v>
      </c>
      <c r="B208" s="119">
        <v>64</v>
      </c>
      <c r="C208" s="120">
        <v>10.9</v>
      </c>
      <c r="D208" s="119">
        <v>28</v>
      </c>
      <c r="E208" s="120">
        <v>0.1</v>
      </c>
      <c r="F208" s="123" t="s">
        <v>294</v>
      </c>
      <c r="G208" s="112"/>
      <c r="H208" s="112"/>
      <c r="I208" s="112"/>
      <c r="J208" s="114" t="s">
        <v>174</v>
      </c>
      <c r="K208" s="112">
        <v>641058</v>
      </c>
      <c r="L208" s="112">
        <v>280003</v>
      </c>
      <c r="M208" s="122" t="s">
        <v>700</v>
      </c>
      <c r="N208" s="266"/>
      <c r="O208" s="266"/>
      <c r="P208" s="266"/>
      <c r="Q208" s="266"/>
      <c r="R208" s="265"/>
      <c r="S208" s="278"/>
      <c r="T208" s="119"/>
      <c r="U208" s="120"/>
      <c r="V208" s="123"/>
      <c r="W208" s="112"/>
      <c r="X208" s="112"/>
      <c r="Y208" s="112"/>
      <c r="AA208" s="112"/>
      <c r="AB208" s="112"/>
      <c r="AC208" s="122"/>
    </row>
    <row r="209" spans="1:29" ht="12.75">
      <c r="A209" s="118" t="s">
        <v>702</v>
      </c>
      <c r="B209" s="119">
        <v>61</v>
      </c>
      <c r="C209" s="120">
        <v>32.5</v>
      </c>
      <c r="D209" s="119">
        <v>24</v>
      </c>
      <c r="E209" s="120">
        <v>2.3</v>
      </c>
      <c r="F209" s="114" t="s">
        <v>314</v>
      </c>
      <c r="J209" s="114" t="s">
        <v>703</v>
      </c>
      <c r="K209" s="112">
        <v>61233</v>
      </c>
      <c r="L209" s="112">
        <v>240256</v>
      </c>
      <c r="M209" s="122" t="str">
        <f>A209</f>
        <v>SUINULA </v>
      </c>
      <c r="N209" s="266"/>
      <c r="O209" s="266"/>
      <c r="P209" s="266"/>
      <c r="Q209" s="266"/>
      <c r="R209" s="265"/>
      <c r="S209" s="278"/>
      <c r="T209" s="119"/>
      <c r="U209" s="120"/>
      <c r="V209" s="123"/>
      <c r="W209" s="112"/>
      <c r="X209" s="112"/>
      <c r="Y209" s="112"/>
      <c r="AA209" s="112"/>
      <c r="AB209" s="112"/>
      <c r="AC209" s="122"/>
    </row>
    <row r="210" spans="1:29" ht="12.75">
      <c r="A210" s="118" t="s">
        <v>790</v>
      </c>
      <c r="B210" s="119" t="str">
        <f t="shared" si="24"/>
        <v>61</v>
      </c>
      <c r="C210" s="120">
        <v>54.4</v>
      </c>
      <c r="D210" s="119" t="str">
        <f t="shared" si="25"/>
        <v>28</v>
      </c>
      <c r="E210" s="120">
        <v>35.7</v>
      </c>
      <c r="F210" s="123" t="s">
        <v>317</v>
      </c>
      <c r="G210" s="112"/>
      <c r="H210" s="112"/>
      <c r="I210" s="112"/>
      <c r="J210" s="114" t="s">
        <v>206</v>
      </c>
      <c r="K210" s="112">
        <v>615427</v>
      </c>
      <c r="L210" s="112">
        <v>283540</v>
      </c>
      <c r="M210" s="122" t="s">
        <v>367</v>
      </c>
      <c r="N210" s="266"/>
      <c r="O210" s="266"/>
      <c r="P210" s="266"/>
      <c r="Q210" s="266"/>
      <c r="R210" s="265"/>
      <c r="S210" s="278"/>
      <c r="T210" s="119"/>
      <c r="U210" s="120"/>
      <c r="V210" s="123"/>
      <c r="W210" s="112"/>
      <c r="X210" s="112"/>
      <c r="Y210" s="112"/>
      <c r="AA210" s="112"/>
      <c r="AB210" s="112"/>
      <c r="AC210" s="122"/>
    </row>
    <row r="211" spans="1:29" ht="12.75">
      <c r="A211" s="118" t="s">
        <v>810</v>
      </c>
      <c r="B211" s="119" t="str">
        <f t="shared" si="24"/>
        <v>62</v>
      </c>
      <c r="C211" s="120">
        <v>13.8</v>
      </c>
      <c r="D211" s="119" t="str">
        <f t="shared" si="25"/>
        <v>27</v>
      </c>
      <c r="E211" s="120">
        <v>25.7</v>
      </c>
      <c r="F211" s="123" t="s">
        <v>306</v>
      </c>
      <c r="G211" s="112"/>
      <c r="H211" s="112"/>
      <c r="I211" s="112"/>
      <c r="J211" s="114" t="s">
        <v>220</v>
      </c>
      <c r="K211" s="112">
        <v>621347</v>
      </c>
      <c r="L211" s="112">
        <v>272543</v>
      </c>
      <c r="M211" s="122" t="str">
        <f>A211</f>
        <v>MAAVU (EFVR)</v>
      </c>
      <c r="N211" s="266"/>
      <c r="O211" s="266"/>
      <c r="P211" s="266"/>
      <c r="Q211" s="266"/>
      <c r="R211" s="265"/>
      <c r="S211" s="278"/>
      <c r="T211" s="119"/>
      <c r="U211" s="120"/>
      <c r="V211" s="123"/>
      <c r="W211" s="112"/>
      <c r="X211" s="112"/>
      <c r="Y211" s="112"/>
      <c r="AA211" s="112"/>
      <c r="AB211" s="112"/>
      <c r="AC211" s="122"/>
    </row>
    <row r="212" spans="1:29" ht="12.75">
      <c r="A212" s="118" t="s">
        <v>747</v>
      </c>
      <c r="B212" s="119" t="str">
        <f t="shared" si="24"/>
        <v>65</v>
      </c>
      <c r="C212" s="120">
        <v>56.8</v>
      </c>
      <c r="D212" s="119" t="str">
        <f t="shared" si="25"/>
        <v>24</v>
      </c>
      <c r="E212" s="120">
        <v>53.9</v>
      </c>
      <c r="F212" s="123" t="s">
        <v>298</v>
      </c>
      <c r="G212" s="112"/>
      <c r="H212" s="112"/>
      <c r="I212" s="112"/>
      <c r="J212" s="114" t="s">
        <v>86</v>
      </c>
      <c r="K212" s="112">
        <v>655649</v>
      </c>
      <c r="L212" s="112">
        <v>245358</v>
      </c>
      <c r="M212" s="122" t="str">
        <f>A212</f>
        <v>ROLLO (EFKE)</v>
      </c>
      <c r="N212" s="266"/>
      <c r="O212" s="266"/>
      <c r="P212" s="266"/>
      <c r="Q212" s="266"/>
      <c r="R212" s="265"/>
      <c r="S212" s="278"/>
      <c r="T212" s="119"/>
      <c r="U212" s="120"/>
      <c r="V212" s="123"/>
      <c r="W212" s="112"/>
      <c r="X212" s="112"/>
      <c r="Y212" s="112"/>
      <c r="AA212" s="112"/>
      <c r="AB212" s="112"/>
      <c r="AC212" s="122"/>
    </row>
    <row r="213" spans="1:29" ht="12.75">
      <c r="A213" s="118" t="s">
        <v>733</v>
      </c>
      <c r="B213" s="119" t="str">
        <f t="shared" si="24"/>
        <v>68</v>
      </c>
      <c r="C213" s="120">
        <v>7.2</v>
      </c>
      <c r="D213" s="119" t="str">
        <f t="shared" si="25"/>
        <v>23</v>
      </c>
      <c r="E213" s="120">
        <v>22.8</v>
      </c>
      <c r="F213" s="123" t="s">
        <v>277</v>
      </c>
      <c r="G213" s="112"/>
      <c r="H213" s="112"/>
      <c r="I213" s="112"/>
      <c r="J213" s="114" t="s">
        <v>52</v>
      </c>
      <c r="K213" s="112">
        <v>680712</v>
      </c>
      <c r="L213" s="112">
        <v>232248</v>
      </c>
      <c r="M213" s="122" t="s">
        <v>401</v>
      </c>
      <c r="N213" s="266"/>
      <c r="O213" s="266"/>
      <c r="P213" s="266"/>
      <c r="Q213" s="266"/>
      <c r="R213" s="265"/>
      <c r="S213" s="278"/>
      <c r="T213" s="119"/>
      <c r="U213" s="120"/>
      <c r="V213" s="123"/>
      <c r="W213" s="112"/>
      <c r="X213" s="112"/>
      <c r="Y213" s="112"/>
      <c r="AA213" s="112"/>
      <c r="AB213" s="112"/>
      <c r="AC213" s="122"/>
    </row>
    <row r="214" spans="1:29" ht="12.75">
      <c r="A214" s="118" t="s">
        <v>734</v>
      </c>
      <c r="B214" s="119" t="str">
        <f t="shared" si="24"/>
        <v>68</v>
      </c>
      <c r="C214" s="120">
        <v>16.2</v>
      </c>
      <c r="D214" s="119" t="str">
        <f t="shared" si="25"/>
        <v>23</v>
      </c>
      <c r="E214" s="120">
        <v>39.7</v>
      </c>
      <c r="F214" s="123" t="s">
        <v>277</v>
      </c>
      <c r="G214" s="112"/>
      <c r="H214" s="112"/>
      <c r="I214" s="112"/>
      <c r="J214" s="114" t="s">
        <v>52</v>
      </c>
      <c r="K214" s="112">
        <v>681612</v>
      </c>
      <c r="L214" s="112">
        <v>233943</v>
      </c>
      <c r="M214" s="122" t="s">
        <v>402</v>
      </c>
      <c r="N214" s="266"/>
      <c r="O214" s="266"/>
      <c r="P214" s="266"/>
      <c r="Q214" s="266"/>
      <c r="R214" s="265"/>
      <c r="S214" s="278"/>
      <c r="T214" s="119"/>
      <c r="U214" s="120"/>
      <c r="V214" s="123"/>
      <c r="W214" s="112"/>
      <c r="X214" s="112"/>
      <c r="Y214" s="112"/>
      <c r="AA214" s="112"/>
      <c r="AB214" s="112"/>
      <c r="AC214" s="122"/>
    </row>
    <row r="215" spans="1:29" ht="12.75">
      <c r="A215" s="118" t="s">
        <v>778</v>
      </c>
      <c r="B215" s="119" t="str">
        <f t="shared" si="24"/>
        <v>65</v>
      </c>
      <c r="C215" s="120">
        <v>3.7</v>
      </c>
      <c r="D215" s="119" t="str">
        <f t="shared" si="25"/>
        <v>25</v>
      </c>
      <c r="E215" s="120">
        <v>24.3</v>
      </c>
      <c r="F215" s="123" t="s">
        <v>312</v>
      </c>
      <c r="G215" s="112"/>
      <c r="H215" s="112"/>
      <c r="I215" s="112"/>
      <c r="J215" s="114" t="s">
        <v>192</v>
      </c>
      <c r="K215" s="112">
        <v>650344</v>
      </c>
      <c r="L215" s="112">
        <v>252417</v>
      </c>
      <c r="M215" s="122" t="str">
        <f>A215</f>
        <v>TUIRA (EFOU)</v>
      </c>
      <c r="N215" s="266"/>
      <c r="O215" s="266"/>
      <c r="P215" s="266"/>
      <c r="Q215" s="266"/>
      <c r="R215" s="265"/>
      <c r="S215" s="278"/>
      <c r="T215" s="119"/>
      <c r="U215" s="120"/>
      <c r="V215" s="123"/>
      <c r="W215" s="112"/>
      <c r="X215" s="112"/>
      <c r="Y215" s="112"/>
      <c r="AA215" s="112"/>
      <c r="AB215" s="112"/>
      <c r="AC215" s="122"/>
    </row>
    <row r="216" spans="1:29" ht="12.75">
      <c r="A216" s="118" t="s">
        <v>831</v>
      </c>
      <c r="B216" s="119" t="str">
        <f t="shared" si="24"/>
        <v>65</v>
      </c>
      <c r="C216" s="120">
        <v>46.6</v>
      </c>
      <c r="D216" s="119" t="str">
        <f t="shared" si="25"/>
        <v>24</v>
      </c>
      <c r="E216" s="120">
        <v>16.5</v>
      </c>
      <c r="F216" s="123" t="s">
        <v>298</v>
      </c>
      <c r="G216" s="112"/>
      <c r="H216" s="112"/>
      <c r="I216" s="112"/>
      <c r="J216" s="114" t="s">
        <v>86</v>
      </c>
      <c r="K216" s="112">
        <v>654633</v>
      </c>
      <c r="L216" s="112">
        <v>241630</v>
      </c>
      <c r="M216" s="122" t="str">
        <f>A216</f>
        <v>SVEDU (EFKE)</v>
      </c>
      <c r="N216" s="266"/>
      <c r="O216" s="266"/>
      <c r="P216" s="266"/>
      <c r="Q216" s="266"/>
      <c r="R216" s="265"/>
      <c r="S216" s="278"/>
      <c r="T216" s="119"/>
      <c r="U216" s="120"/>
      <c r="V216" s="123"/>
      <c r="W216" s="112"/>
      <c r="X216" s="112"/>
      <c r="Y216" s="112"/>
      <c r="AA216" s="112"/>
      <c r="AB216" s="112"/>
      <c r="AC216" s="122"/>
    </row>
    <row r="217" spans="1:29" ht="12.75">
      <c r="A217" s="118" t="s">
        <v>804</v>
      </c>
      <c r="B217" s="119">
        <v>60</v>
      </c>
      <c r="C217" s="120">
        <v>47.2</v>
      </c>
      <c r="D217" s="119">
        <v>26</v>
      </c>
      <c r="E217" s="120">
        <v>35.1</v>
      </c>
      <c r="F217" s="123" t="s">
        <v>324</v>
      </c>
      <c r="G217" s="112"/>
      <c r="H217" s="112"/>
      <c r="I217" s="112"/>
      <c r="J217" s="114" t="s">
        <v>215</v>
      </c>
      <c r="K217" s="112">
        <v>604714</v>
      </c>
      <c r="L217" s="112">
        <v>263504</v>
      </c>
      <c r="M217" s="122" t="str">
        <f>A217</f>
        <v>LINJA (EFUT)</v>
      </c>
      <c r="N217" s="266"/>
      <c r="O217" s="266"/>
      <c r="P217" s="266"/>
      <c r="Q217" s="266"/>
      <c r="R217" s="265"/>
      <c r="S217" s="278"/>
      <c r="T217" s="119"/>
      <c r="U217" s="120"/>
      <c r="V217" s="123"/>
      <c r="W217" s="112"/>
      <c r="X217" s="112"/>
      <c r="Y217" s="112"/>
      <c r="AA217" s="112"/>
      <c r="AB217" s="112"/>
      <c r="AC217" s="122"/>
    </row>
    <row r="218" spans="1:29" ht="12.75">
      <c r="A218" s="118" t="s">
        <v>382</v>
      </c>
      <c r="B218" s="119" t="str">
        <f>LEFT(K218,2)</f>
        <v>60</v>
      </c>
      <c r="C218" s="120">
        <f>MID(K218,3,2)+(RIGHT(K218,2)/60)</f>
        <v>25.083333333333332</v>
      </c>
      <c r="D218" s="119" t="str">
        <f t="shared" si="18"/>
        <v>22</v>
      </c>
      <c r="E218" s="120">
        <f>MID(L218,3,2)+(RIGHT(L218,2)/60)</f>
        <v>26.583333333333332</v>
      </c>
      <c r="F218" s="121">
        <v>123.6</v>
      </c>
      <c r="G218" s="112"/>
      <c r="J218" s="114" t="s">
        <v>382</v>
      </c>
      <c r="K218" s="112">
        <v>602505</v>
      </c>
      <c r="L218" s="112">
        <v>222595</v>
      </c>
      <c r="M218" s="122" t="str">
        <f>A218</f>
        <v>TUORLA</v>
      </c>
      <c r="N218" s="266"/>
      <c r="O218" s="266"/>
      <c r="P218" s="266"/>
      <c r="Q218" s="266"/>
      <c r="R218" s="265"/>
      <c r="S218" s="278"/>
      <c r="T218" s="119"/>
      <c r="U218" s="120"/>
      <c r="V218" s="121"/>
      <c r="W218" s="112"/>
      <c r="X218" s="112"/>
      <c r="Y218" s="112"/>
      <c r="AA218" s="112"/>
      <c r="AB218" s="112"/>
      <c r="AC218" s="122"/>
    </row>
    <row r="219" spans="1:29" ht="12.75">
      <c r="A219" s="118" t="s">
        <v>707</v>
      </c>
      <c r="B219" s="119">
        <v>60</v>
      </c>
      <c r="C219" s="120">
        <v>45.4</v>
      </c>
      <c r="D219" s="119">
        <v>26</v>
      </c>
      <c r="E219" s="120">
        <v>44.4</v>
      </c>
      <c r="F219" s="114" t="s">
        <v>714</v>
      </c>
      <c r="J219" s="114" t="s">
        <v>707</v>
      </c>
      <c r="K219" s="112">
        <v>604526</v>
      </c>
      <c r="L219" s="112">
        <v>264421</v>
      </c>
      <c r="M219" s="122" t="str">
        <f>A219</f>
        <v>UMMELJOKI</v>
      </c>
      <c r="N219" s="266" t="s">
        <v>574</v>
      </c>
      <c r="O219" s="266"/>
      <c r="P219" s="266" t="s">
        <v>711</v>
      </c>
      <c r="Q219" s="266"/>
      <c r="R219" s="265">
        <v>41</v>
      </c>
      <c r="S219" s="278">
        <v>135</v>
      </c>
      <c r="T219" s="119"/>
      <c r="U219" s="120"/>
      <c r="V219" s="123"/>
      <c r="W219" s="112"/>
      <c r="X219" s="112"/>
      <c r="Y219" s="112"/>
      <c r="AA219" s="112"/>
      <c r="AB219" s="112"/>
      <c r="AC219" s="122"/>
    </row>
    <row r="220" spans="1:29" ht="12.75">
      <c r="A220" s="118" t="s">
        <v>403</v>
      </c>
      <c r="B220" s="119" t="str">
        <f t="shared" si="24"/>
        <v>69</v>
      </c>
      <c r="C220" s="120">
        <f>MID(K220,3,2)+(RIGHT(K220,2)/60)</f>
        <v>55.03333333333333</v>
      </c>
      <c r="D220" s="119" t="str">
        <f t="shared" si="25"/>
        <v>27</v>
      </c>
      <c r="E220" s="120">
        <f>MID(L220,3,2)+(RIGHT(L220,2)/60)</f>
        <v>1.7333333333333334</v>
      </c>
      <c r="F220" s="123"/>
      <c r="G220" s="112"/>
      <c r="H220" s="112"/>
      <c r="I220" s="112"/>
      <c r="J220" s="114" t="s">
        <v>391</v>
      </c>
      <c r="K220" s="112">
        <v>695502</v>
      </c>
      <c r="L220" s="112">
        <v>270144</v>
      </c>
      <c r="M220" s="122" t="s">
        <v>403</v>
      </c>
      <c r="N220" s="266"/>
      <c r="O220" s="266"/>
      <c r="P220" s="266"/>
      <c r="Q220" s="266"/>
      <c r="R220" s="265"/>
      <c r="S220" s="278"/>
      <c r="T220" s="119"/>
      <c r="U220" s="120"/>
      <c r="V220" s="123"/>
      <c r="W220" s="112"/>
      <c r="X220" s="112"/>
      <c r="Y220" s="112"/>
      <c r="AA220" s="112"/>
      <c r="AB220" s="112"/>
      <c r="AC220" s="122"/>
    </row>
    <row r="221" spans="1:29" ht="12.75">
      <c r="A221" s="118" t="s">
        <v>760</v>
      </c>
      <c r="B221" s="119" t="str">
        <f t="shared" si="24"/>
        <v>62</v>
      </c>
      <c r="C221" s="120">
        <v>55.7</v>
      </c>
      <c r="D221" s="119" t="str">
        <f t="shared" si="25"/>
        <v>28</v>
      </c>
      <c r="E221" s="120">
        <v>10</v>
      </c>
      <c r="F221" s="123" t="s">
        <v>303</v>
      </c>
      <c r="G221" s="112"/>
      <c r="H221" s="112"/>
      <c r="I221" s="112"/>
      <c r="J221" s="114" t="s">
        <v>180</v>
      </c>
      <c r="K221" s="112">
        <v>625540</v>
      </c>
      <c r="L221" s="112">
        <v>281001</v>
      </c>
      <c r="M221" s="122" t="str">
        <f>A221</f>
        <v>MELAN (EFKU)</v>
      </c>
      <c r="N221" s="266"/>
      <c r="O221" s="266"/>
      <c r="P221" s="266"/>
      <c r="Q221" s="266"/>
      <c r="R221" s="265"/>
      <c r="S221" s="278"/>
      <c r="T221" s="119"/>
      <c r="U221" s="120"/>
      <c r="AA221" s="112"/>
      <c r="AB221" s="112"/>
      <c r="AC221" s="122"/>
    </row>
    <row r="222" spans="1:29" ht="12.75">
      <c r="A222" s="118" t="s">
        <v>785</v>
      </c>
      <c r="B222" s="119" t="str">
        <f t="shared" si="24"/>
        <v>66</v>
      </c>
      <c r="C222" s="120">
        <v>22.9</v>
      </c>
      <c r="D222" s="119" t="str">
        <f t="shared" si="25"/>
        <v>25</v>
      </c>
      <c r="E222" s="120">
        <v>52.4</v>
      </c>
      <c r="F222" s="123" t="s">
        <v>314</v>
      </c>
      <c r="G222" s="112"/>
      <c r="H222" s="112"/>
      <c r="I222" s="112"/>
      <c r="J222" s="114" t="s">
        <v>202</v>
      </c>
      <c r="K222" s="112">
        <v>662254</v>
      </c>
      <c r="L222" s="112">
        <v>255224</v>
      </c>
      <c r="M222" s="122" t="str">
        <f aca="true" t="shared" si="27" ref="M222:M238">A222</f>
        <v>ROSKA(EFRO)</v>
      </c>
      <c r="N222" s="266"/>
      <c r="O222" s="266"/>
      <c r="P222" s="266"/>
      <c r="Q222" s="266"/>
      <c r="R222" s="265"/>
      <c r="S222" s="278"/>
      <c r="T222" s="119"/>
      <c r="U222" s="120"/>
      <c r="AA222" s="112"/>
      <c r="AB222" s="112"/>
      <c r="AC222" s="122"/>
    </row>
    <row r="223" spans="1:29" ht="12.75">
      <c r="A223" s="118" t="s">
        <v>811</v>
      </c>
      <c r="B223" s="119" t="str">
        <f t="shared" si="24"/>
        <v>62</v>
      </c>
      <c r="C223" s="120">
        <v>14.5</v>
      </c>
      <c r="D223" s="119">
        <v>28</v>
      </c>
      <c r="E223" s="120">
        <v>5.3</v>
      </c>
      <c r="F223" s="123" t="s">
        <v>306</v>
      </c>
      <c r="G223" s="112"/>
      <c r="H223" s="112"/>
      <c r="I223" s="112"/>
      <c r="J223" s="114" t="s">
        <v>220</v>
      </c>
      <c r="K223" s="112">
        <v>621430</v>
      </c>
      <c r="L223" s="112">
        <v>280522</v>
      </c>
      <c r="M223" s="122" t="str">
        <f t="shared" si="27"/>
        <v>MANKI (EFVR)</v>
      </c>
      <c r="N223" s="266"/>
      <c r="O223" s="266"/>
      <c r="P223" s="266"/>
      <c r="Q223" s="266"/>
      <c r="R223" s="265"/>
      <c r="S223" s="278"/>
      <c r="T223" s="119"/>
      <c r="U223" s="120"/>
      <c r="AA223" s="112"/>
      <c r="AB223" s="112"/>
      <c r="AC223" s="122"/>
    </row>
    <row r="224" spans="1:29" ht="12.75">
      <c r="A224" s="118" t="s">
        <v>812</v>
      </c>
      <c r="B224" s="119" t="str">
        <f>LEFT(K224,2)</f>
        <v>62</v>
      </c>
      <c r="C224" s="120">
        <v>22.9</v>
      </c>
      <c r="D224" s="119">
        <v>27</v>
      </c>
      <c r="E224" s="120">
        <v>48.5</v>
      </c>
      <c r="F224" s="123" t="s">
        <v>306</v>
      </c>
      <c r="G224" s="112"/>
      <c r="H224" s="112"/>
      <c r="I224" s="112"/>
      <c r="J224" s="114" t="s">
        <v>220</v>
      </c>
      <c r="K224" s="112">
        <v>622257</v>
      </c>
      <c r="L224" s="112">
        <v>274833</v>
      </c>
      <c r="M224" s="122" t="str">
        <f t="shared" si="27"/>
        <v>POIJI (EFVR)</v>
      </c>
      <c r="N224" s="266" t="s">
        <v>713</v>
      </c>
      <c r="O224" s="266"/>
      <c r="P224" s="266" t="s">
        <v>713</v>
      </c>
      <c r="Q224" s="266"/>
      <c r="R224" s="265" t="s">
        <v>713</v>
      </c>
      <c r="S224" s="278" t="s">
        <v>713</v>
      </c>
      <c r="T224" s="119"/>
      <c r="U224" s="120"/>
      <c r="AA224" s="112"/>
      <c r="AB224" s="112"/>
      <c r="AC224" s="122"/>
    </row>
    <row r="225" spans="1:29" ht="12.75">
      <c r="A225" s="118" t="s">
        <v>708</v>
      </c>
      <c r="B225" s="119">
        <v>62</v>
      </c>
      <c r="C225" s="120">
        <v>30.8</v>
      </c>
      <c r="D225" s="119">
        <v>24</v>
      </c>
      <c r="E225" s="120">
        <v>4</v>
      </c>
      <c r="F225" s="114" t="s">
        <v>712</v>
      </c>
      <c r="J225" s="114" t="s">
        <v>708</v>
      </c>
      <c r="K225" s="112">
        <v>623049</v>
      </c>
      <c r="L225" s="112">
        <v>240359</v>
      </c>
      <c r="M225" s="122" t="str">
        <f t="shared" si="27"/>
        <v>ÄHTÄRI</v>
      </c>
      <c r="N225" s="266" t="s">
        <v>709</v>
      </c>
      <c r="O225" s="266"/>
      <c r="P225" s="266" t="s">
        <v>710</v>
      </c>
      <c r="Q225" s="266"/>
      <c r="R225" s="265">
        <v>182</v>
      </c>
      <c r="S225" s="278">
        <v>597</v>
      </c>
      <c r="T225" s="119"/>
      <c r="U225" s="120"/>
      <c r="AA225" s="112"/>
      <c r="AB225" s="112"/>
      <c r="AC225" s="122"/>
    </row>
    <row r="226" spans="1:29" ht="12.75">
      <c r="A226" s="118" t="s">
        <v>813</v>
      </c>
      <c r="B226" s="119">
        <v>62</v>
      </c>
      <c r="C226" s="120">
        <v>0.7</v>
      </c>
      <c r="D226" s="119">
        <v>27</v>
      </c>
      <c r="E226" s="120">
        <v>48</v>
      </c>
      <c r="F226" s="114" t="s">
        <v>814</v>
      </c>
      <c r="J226" s="114" t="s">
        <v>220</v>
      </c>
      <c r="K226" s="112">
        <v>620044</v>
      </c>
      <c r="L226" s="112">
        <v>274801</v>
      </c>
      <c r="M226" s="122" t="s">
        <v>813</v>
      </c>
      <c r="N226" s="266"/>
      <c r="O226" s="266"/>
      <c r="P226" s="266"/>
      <c r="Q226" s="266"/>
      <c r="R226" s="265"/>
      <c r="S226" s="278"/>
      <c r="T226" s="119"/>
      <c r="U226" s="120"/>
      <c r="AA226" s="112"/>
      <c r="AB226" s="112"/>
      <c r="AC226" s="122"/>
    </row>
    <row r="227" spans="1:29" ht="12.75">
      <c r="A227" s="118" t="s">
        <v>832</v>
      </c>
      <c r="B227" s="119">
        <v>62</v>
      </c>
      <c r="C227" s="120">
        <v>29.5</v>
      </c>
      <c r="D227" s="119">
        <v>29</v>
      </c>
      <c r="E227" s="120">
        <v>49.7</v>
      </c>
      <c r="F227" s="114" t="s">
        <v>290</v>
      </c>
      <c r="J227" s="114" t="s">
        <v>80</v>
      </c>
      <c r="K227" s="112">
        <v>622931</v>
      </c>
      <c r="L227" s="112">
        <v>294941</v>
      </c>
      <c r="M227" s="122" t="s">
        <v>832</v>
      </c>
      <c r="N227" s="266"/>
      <c r="O227" s="266"/>
      <c r="P227" s="266"/>
      <c r="Q227" s="266"/>
      <c r="R227" s="265"/>
      <c r="S227" s="278"/>
      <c r="T227" s="119"/>
      <c r="U227" s="120"/>
      <c r="AA227" s="112"/>
      <c r="AB227" s="112"/>
      <c r="AC227" s="122"/>
    </row>
    <row r="228" spans="1:29" ht="12.75">
      <c r="A228" s="118"/>
      <c r="B228" s="119"/>
      <c r="C228" s="120"/>
      <c r="D228" s="119"/>
      <c r="E228" s="120"/>
      <c r="M228" s="122"/>
      <c r="N228" s="266"/>
      <c r="O228" s="266"/>
      <c r="P228" s="266"/>
      <c r="Q228" s="266"/>
      <c r="R228" s="265"/>
      <c r="S228" s="278"/>
      <c r="T228" s="119"/>
      <c r="U228" s="120"/>
      <c r="AA228" s="112"/>
      <c r="AB228" s="112"/>
      <c r="AC228" s="122"/>
    </row>
    <row r="229" spans="1:29" ht="12.75">
      <c r="A229" s="118"/>
      <c r="B229" s="119">
        <f t="shared" si="24"/>
      </c>
      <c r="C229" s="120" t="e">
        <f aca="true" t="shared" si="28" ref="C229:C238">MID(K229,3,2)+(RIGHT(K229,2)/60)</f>
        <v>#VALUE!</v>
      </c>
      <c r="D229" s="119">
        <f t="shared" si="25"/>
      </c>
      <c r="E229" s="120" t="e">
        <f aca="true" t="shared" si="29" ref="E229:E238">MID(L229,3,2)+(RIGHT(L229,2)/60)</f>
        <v>#VALUE!</v>
      </c>
      <c r="M229" s="122">
        <f t="shared" si="27"/>
        <v>0</v>
      </c>
      <c r="N229" s="266"/>
      <c r="O229" s="266"/>
      <c r="P229" s="266"/>
      <c r="Q229" s="266"/>
      <c r="R229" s="265"/>
      <c r="S229" s="278"/>
      <c r="T229" s="119"/>
      <c r="U229" s="120"/>
      <c r="AA229" s="112"/>
      <c r="AB229" s="112"/>
      <c r="AC229" s="122"/>
    </row>
    <row r="230" spans="1:29" ht="12.75">
      <c r="A230" s="118"/>
      <c r="B230" s="119">
        <f t="shared" si="24"/>
      </c>
      <c r="C230" s="120" t="e">
        <f t="shared" si="28"/>
        <v>#VALUE!</v>
      </c>
      <c r="D230" s="119">
        <f t="shared" si="25"/>
      </c>
      <c r="E230" s="120" t="e">
        <f t="shared" si="29"/>
        <v>#VALUE!</v>
      </c>
      <c r="M230" s="122">
        <f t="shared" si="27"/>
        <v>0</v>
      </c>
      <c r="N230" s="266"/>
      <c r="O230" s="266"/>
      <c r="P230" s="266"/>
      <c r="Q230" s="266"/>
      <c r="R230" s="265"/>
      <c r="S230" s="278"/>
      <c r="T230" s="119"/>
      <c r="U230" s="120"/>
      <c r="AA230" s="112"/>
      <c r="AB230" s="112"/>
      <c r="AC230" s="122"/>
    </row>
    <row r="231" spans="1:29" ht="12.75">
      <c r="A231" s="118"/>
      <c r="B231" s="119">
        <f t="shared" si="24"/>
      </c>
      <c r="C231" s="120" t="e">
        <f t="shared" si="28"/>
        <v>#VALUE!</v>
      </c>
      <c r="D231" s="119">
        <f t="shared" si="25"/>
      </c>
      <c r="E231" s="120" t="e">
        <f t="shared" si="29"/>
        <v>#VALUE!</v>
      </c>
      <c r="M231" s="122">
        <f t="shared" si="27"/>
        <v>0</v>
      </c>
      <c r="N231" s="266"/>
      <c r="O231" s="266"/>
      <c r="P231" s="266"/>
      <c r="Q231" s="266"/>
      <c r="R231" s="265"/>
      <c r="S231" s="278"/>
      <c r="T231" s="119"/>
      <c r="U231" s="120"/>
      <c r="AA231" s="112"/>
      <c r="AB231" s="112"/>
      <c r="AC231" s="122"/>
    </row>
    <row r="232" spans="1:29" ht="12.75">
      <c r="A232" s="118"/>
      <c r="B232" s="119">
        <f t="shared" si="24"/>
      </c>
      <c r="C232" s="120" t="e">
        <f t="shared" si="28"/>
        <v>#VALUE!</v>
      </c>
      <c r="D232" s="119">
        <f t="shared" si="25"/>
      </c>
      <c r="E232" s="120" t="e">
        <f t="shared" si="29"/>
        <v>#VALUE!</v>
      </c>
      <c r="M232" s="122">
        <f t="shared" si="27"/>
        <v>0</v>
      </c>
      <c r="N232" s="266"/>
      <c r="O232" s="266"/>
      <c r="P232" s="266"/>
      <c r="Q232" s="266"/>
      <c r="R232" s="265"/>
      <c r="S232" s="278"/>
      <c r="T232" s="119"/>
      <c r="U232" s="120"/>
      <c r="AA232" s="112"/>
      <c r="AB232" s="112"/>
      <c r="AC232" s="122"/>
    </row>
    <row r="233" spans="1:29" ht="12.75">
      <c r="A233" s="118"/>
      <c r="B233" s="119">
        <f t="shared" si="24"/>
      </c>
      <c r="C233" s="120" t="e">
        <f t="shared" si="28"/>
        <v>#VALUE!</v>
      </c>
      <c r="D233" s="119">
        <f t="shared" si="25"/>
      </c>
      <c r="E233" s="120" t="e">
        <f t="shared" si="29"/>
        <v>#VALUE!</v>
      </c>
      <c r="M233" s="122">
        <f t="shared" si="27"/>
        <v>0</v>
      </c>
      <c r="N233" s="266"/>
      <c r="O233" s="266"/>
      <c r="P233" s="266"/>
      <c r="Q233" s="266"/>
      <c r="R233" s="265"/>
      <c r="S233" s="278"/>
      <c r="T233" s="119"/>
      <c r="U233" s="120"/>
      <c r="AA233" s="112"/>
      <c r="AB233" s="112"/>
      <c r="AC233" s="122"/>
    </row>
    <row r="234" spans="1:29" ht="12.75">
      <c r="A234" s="118"/>
      <c r="B234" s="119">
        <f t="shared" si="24"/>
      </c>
      <c r="C234" s="120" t="e">
        <f t="shared" si="28"/>
        <v>#VALUE!</v>
      </c>
      <c r="D234" s="119">
        <f t="shared" si="25"/>
      </c>
      <c r="E234" s="120" t="e">
        <f t="shared" si="29"/>
        <v>#VALUE!</v>
      </c>
      <c r="M234" s="122">
        <f t="shared" si="27"/>
        <v>0</v>
      </c>
      <c r="N234" s="266"/>
      <c r="O234" s="266"/>
      <c r="P234" s="266"/>
      <c r="Q234" s="266"/>
      <c r="R234" s="265"/>
      <c r="S234" s="278"/>
      <c r="T234" s="119"/>
      <c r="U234" s="120"/>
      <c r="AA234" s="112"/>
      <c r="AB234" s="112"/>
      <c r="AC234" s="122"/>
    </row>
    <row r="235" spans="1:29" ht="12.75">
      <c r="A235" s="118"/>
      <c r="B235" s="119">
        <f t="shared" si="24"/>
      </c>
      <c r="C235" s="120" t="e">
        <f t="shared" si="28"/>
        <v>#VALUE!</v>
      </c>
      <c r="D235" s="119">
        <f t="shared" si="25"/>
      </c>
      <c r="E235" s="120" t="e">
        <f t="shared" si="29"/>
        <v>#VALUE!</v>
      </c>
      <c r="M235" s="122">
        <f t="shared" si="27"/>
        <v>0</v>
      </c>
      <c r="N235" s="266"/>
      <c r="O235" s="266"/>
      <c r="P235" s="266"/>
      <c r="Q235" s="266"/>
      <c r="R235" s="265"/>
      <c r="S235" s="278"/>
      <c r="T235" s="119"/>
      <c r="U235" s="120"/>
      <c r="AA235" s="112"/>
      <c r="AB235" s="112"/>
      <c r="AC235" s="122"/>
    </row>
    <row r="236" spans="1:29" ht="12.75">
      <c r="A236" s="118"/>
      <c r="B236" s="119">
        <f t="shared" si="24"/>
      </c>
      <c r="C236" s="120" t="e">
        <f t="shared" si="28"/>
        <v>#VALUE!</v>
      </c>
      <c r="D236" s="119">
        <f t="shared" si="25"/>
      </c>
      <c r="E236" s="120" t="e">
        <f t="shared" si="29"/>
        <v>#VALUE!</v>
      </c>
      <c r="M236" s="122">
        <f t="shared" si="27"/>
        <v>0</v>
      </c>
      <c r="N236" s="266"/>
      <c r="O236" s="266"/>
      <c r="P236" s="266"/>
      <c r="Q236" s="266"/>
      <c r="R236" s="265"/>
      <c r="S236" s="278"/>
      <c r="T236" s="119"/>
      <c r="U236" s="120"/>
      <c r="AA236" s="112"/>
      <c r="AB236" s="112"/>
      <c r="AC236" s="122"/>
    </row>
    <row r="237" spans="1:29" ht="12.75">
      <c r="A237" s="118"/>
      <c r="B237" s="119">
        <f t="shared" si="24"/>
      </c>
      <c r="C237" s="120" t="e">
        <f t="shared" si="28"/>
        <v>#VALUE!</v>
      </c>
      <c r="D237" s="119">
        <f t="shared" si="25"/>
      </c>
      <c r="E237" s="120" t="e">
        <f t="shared" si="29"/>
        <v>#VALUE!</v>
      </c>
      <c r="M237" s="122">
        <f t="shared" si="27"/>
        <v>0</v>
      </c>
      <c r="N237" s="266"/>
      <c r="O237" s="266"/>
      <c r="P237" s="266"/>
      <c r="Q237" s="266"/>
      <c r="R237" s="265"/>
      <c r="S237" s="278"/>
      <c r="T237" s="119"/>
      <c r="U237" s="120"/>
      <c r="AA237" s="112"/>
      <c r="AB237" s="112"/>
      <c r="AC237" s="122"/>
    </row>
    <row r="238" spans="1:29" ht="12.75">
      <c r="A238" s="118"/>
      <c r="B238" s="119">
        <f t="shared" si="24"/>
      </c>
      <c r="C238" s="120" t="e">
        <f t="shared" si="28"/>
        <v>#VALUE!</v>
      </c>
      <c r="D238" s="119">
        <f t="shared" si="25"/>
      </c>
      <c r="E238" s="120" t="e">
        <f t="shared" si="29"/>
        <v>#VALUE!</v>
      </c>
      <c r="M238" s="122">
        <f t="shared" si="27"/>
        <v>0</v>
      </c>
      <c r="N238" s="266"/>
      <c r="O238" s="266"/>
      <c r="P238" s="266"/>
      <c r="Q238" s="266"/>
      <c r="R238" s="265"/>
      <c r="S238" s="278"/>
      <c r="T238" s="119"/>
      <c r="U238" s="120"/>
      <c r="AA238" s="112"/>
      <c r="AB238" s="112"/>
      <c r="AC238" s="122"/>
    </row>
    <row r="241" ht="12.75"/>
  </sheetData>
  <sheetProtection/>
  <conditionalFormatting sqref="C4:E238 B4:B14 B16:B22 B24:B63 B66:B238">
    <cfRule type="cellIs" priority="1" dxfId="0" operator="notEqual" stopIfTrue="1">
      <formula>R4</formula>
    </cfRule>
  </conditionalFormatting>
  <conditionalFormatting sqref="B15">
    <cfRule type="cellIs" priority="3" dxfId="0" operator="notEqual" stopIfTrue="1">
      <formula>R23</formula>
    </cfRule>
  </conditionalFormatting>
  <conditionalFormatting sqref="B64">
    <cfRule type="cellIs" priority="4" dxfId="0" operator="notEqual" stopIfTrue="1">
      <formula>R65</formula>
    </cfRule>
  </conditionalFormatting>
  <conditionalFormatting sqref="B65 B23">
    <cfRule type="cellIs" priority="5" dxfId="0" operator="notEqual" stopIfTrue="1">
      <formula>#REF!</formula>
    </cfRule>
  </conditionalFormatting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H108"/>
  <sheetViews>
    <sheetView zoomScalePageLayoutView="0" workbookViewId="0" topLeftCell="A16">
      <selection activeCell="A1" sqref="A1"/>
    </sheetView>
  </sheetViews>
  <sheetFormatPr defaultColWidth="9.140625" defaultRowHeight="12.75"/>
  <cols>
    <col min="1" max="1" width="6.57421875" style="1" customWidth="1"/>
    <col min="2" max="2" width="9.8515625" style="139" customWidth="1"/>
    <col min="3" max="3" width="7.7109375" style="139" customWidth="1"/>
    <col min="4" max="16384" width="9.140625" style="138" customWidth="1"/>
  </cols>
  <sheetData>
    <row r="1" spans="1:3" ht="11.25" customHeight="1">
      <c r="A1" s="140"/>
      <c r="B1" s="148" t="s">
        <v>436</v>
      </c>
      <c r="C1" s="141" t="s">
        <v>434</v>
      </c>
    </row>
    <row r="2" spans="1:8" ht="12.75">
      <c r="A2" s="142"/>
      <c r="B2" s="221" t="s">
        <v>545</v>
      </c>
      <c r="C2" s="143" t="s">
        <v>435</v>
      </c>
      <c r="E2" s="149" t="s">
        <v>439</v>
      </c>
      <c r="F2" s="150"/>
      <c r="G2" s="150"/>
      <c r="H2" s="151"/>
    </row>
    <row r="3" spans="1:8" ht="12.75">
      <c r="A3" s="144"/>
      <c r="B3" s="222" t="s">
        <v>546</v>
      </c>
      <c r="C3" s="145" t="s">
        <v>437</v>
      </c>
      <c r="E3" s="152" t="s">
        <v>456</v>
      </c>
      <c r="F3" s="153"/>
      <c r="G3" s="153"/>
      <c r="H3" s="154"/>
    </row>
    <row r="4" spans="1:8" ht="12.75">
      <c r="A4" s="119">
        <v>1</v>
      </c>
      <c r="B4" s="219" t="s">
        <v>506</v>
      </c>
      <c r="C4" s="146">
        <v>24</v>
      </c>
      <c r="E4" s="155" t="s">
        <v>457</v>
      </c>
      <c r="F4" s="156"/>
      <c r="G4" s="157"/>
      <c r="H4" s="158"/>
    </row>
    <row r="5" spans="1:3" ht="12.75">
      <c r="A5" s="119">
        <v>2</v>
      </c>
      <c r="B5" s="219" t="s">
        <v>507</v>
      </c>
      <c r="C5" s="146">
        <v>14</v>
      </c>
    </row>
    <row r="6" spans="1:3" ht="12.75">
      <c r="A6" s="119">
        <v>3</v>
      </c>
      <c r="B6" s="219" t="s">
        <v>508</v>
      </c>
      <c r="C6" s="146">
        <v>18</v>
      </c>
    </row>
    <row r="7" spans="1:3" ht="12.75">
      <c r="A7" s="119">
        <v>4</v>
      </c>
      <c r="B7" s="219" t="s">
        <v>337</v>
      </c>
      <c r="C7" s="146">
        <v>34</v>
      </c>
    </row>
    <row r="8" spans="1:3" ht="12.75">
      <c r="A8" s="119">
        <v>5</v>
      </c>
      <c r="B8" s="219" t="s">
        <v>509</v>
      </c>
      <c r="C8" s="146">
        <v>15</v>
      </c>
    </row>
    <row r="9" spans="1:3" ht="12.75">
      <c r="A9" s="119">
        <v>6</v>
      </c>
      <c r="B9" s="219" t="s">
        <v>510</v>
      </c>
      <c r="C9" s="146">
        <v>38</v>
      </c>
    </row>
    <row r="10" spans="1:3" ht="12.75">
      <c r="A10" s="119">
        <v>7</v>
      </c>
      <c r="B10" s="219" t="s">
        <v>511</v>
      </c>
      <c r="C10" s="146">
        <v>21</v>
      </c>
    </row>
    <row r="11" spans="1:3" ht="12.75">
      <c r="A11" s="119">
        <v>8</v>
      </c>
      <c r="B11" s="219" t="s">
        <v>512</v>
      </c>
      <c r="C11" s="146">
        <v>30</v>
      </c>
    </row>
    <row r="12" spans="1:3" ht="12.75">
      <c r="A12" s="119">
        <v>9</v>
      </c>
      <c r="B12" s="219" t="s">
        <v>513</v>
      </c>
      <c r="C12" s="146">
        <v>13</v>
      </c>
    </row>
    <row r="13" spans="1:3" ht="12.75">
      <c r="A13" s="119">
        <v>10</v>
      </c>
      <c r="B13" s="219" t="s">
        <v>514</v>
      </c>
      <c r="C13" s="146">
        <v>17</v>
      </c>
    </row>
    <row r="14" spans="1:3" ht="12.75">
      <c r="A14" s="119">
        <v>11</v>
      </c>
      <c r="B14" s="219" t="s">
        <v>515</v>
      </c>
      <c r="C14" s="146">
        <v>37</v>
      </c>
    </row>
    <row r="15" spans="1:3" ht="12.75">
      <c r="A15" s="119">
        <v>12</v>
      </c>
      <c r="B15" s="219" t="s">
        <v>516</v>
      </c>
      <c r="C15" s="146">
        <v>41</v>
      </c>
    </row>
    <row r="16" spans="1:3" ht="12.75">
      <c r="A16" s="119">
        <v>13</v>
      </c>
      <c r="B16" s="219" t="s">
        <v>517</v>
      </c>
      <c r="C16" s="146">
        <v>19</v>
      </c>
    </row>
    <row r="17" spans="1:3" ht="12.75">
      <c r="A17" s="119">
        <v>14</v>
      </c>
      <c r="B17" s="219" t="s">
        <v>518</v>
      </c>
      <c r="C17" s="146">
        <v>25</v>
      </c>
    </row>
    <row r="18" spans="1:3" ht="12.75">
      <c r="A18" s="119">
        <v>15</v>
      </c>
      <c r="B18" s="219" t="s">
        <v>519</v>
      </c>
      <c r="C18" s="146">
        <v>40</v>
      </c>
    </row>
    <row r="19" spans="1:3" ht="12.75">
      <c r="A19" s="119">
        <v>16</v>
      </c>
      <c r="B19" s="219" t="s">
        <v>520</v>
      </c>
      <c r="C19" s="146">
        <v>33</v>
      </c>
    </row>
    <row r="20" spans="1:3" ht="12.75">
      <c r="A20" s="119">
        <v>17</v>
      </c>
      <c r="B20" s="219" t="s">
        <v>521</v>
      </c>
      <c r="C20" s="146">
        <v>27</v>
      </c>
    </row>
    <row r="21" spans="1:3" ht="12.75">
      <c r="A21" s="119">
        <v>18</v>
      </c>
      <c r="B21" s="219" t="s">
        <v>522</v>
      </c>
      <c r="C21" s="146">
        <v>29</v>
      </c>
    </row>
    <row r="22" spans="1:3" ht="12.75">
      <c r="A22" s="119">
        <v>19</v>
      </c>
      <c r="B22" s="219" t="s">
        <v>523</v>
      </c>
      <c r="C22" s="146">
        <v>31</v>
      </c>
    </row>
    <row r="23" spans="1:3" ht="12.75">
      <c r="A23" s="119">
        <v>20</v>
      </c>
      <c r="B23" s="219" t="s">
        <v>524</v>
      </c>
      <c r="C23" s="146">
        <v>45</v>
      </c>
    </row>
    <row r="24" spans="1:3" ht="12.75">
      <c r="A24" s="119">
        <v>21</v>
      </c>
      <c r="B24" s="220" t="s">
        <v>525</v>
      </c>
      <c r="C24" s="147">
        <v>0</v>
      </c>
    </row>
    <row r="25" spans="1:3" ht="12.75">
      <c r="A25" s="119">
        <v>22</v>
      </c>
      <c r="B25" s="219" t="s">
        <v>548</v>
      </c>
      <c r="C25" s="146">
        <v>3</v>
      </c>
    </row>
    <row r="26" spans="1:3" ht="12.75">
      <c r="A26" s="119">
        <v>23</v>
      </c>
      <c r="B26" s="219" t="s">
        <v>526</v>
      </c>
      <c r="C26" s="146">
        <v>12</v>
      </c>
    </row>
    <row r="27" spans="1:3" ht="12.75">
      <c r="A27" s="119">
        <v>24</v>
      </c>
      <c r="B27" s="219" t="s">
        <v>335</v>
      </c>
      <c r="C27" s="146">
        <v>1</v>
      </c>
    </row>
    <row r="28" spans="1:3" ht="12.75">
      <c r="A28" s="119">
        <v>25</v>
      </c>
      <c r="B28" s="219" t="s">
        <v>249</v>
      </c>
      <c r="C28" s="146">
        <v>5</v>
      </c>
    </row>
    <row r="29" spans="1:3" ht="12.75">
      <c r="A29" s="119">
        <v>26</v>
      </c>
      <c r="B29" s="219" t="s">
        <v>527</v>
      </c>
      <c r="C29" s="146">
        <v>2</v>
      </c>
    </row>
    <row r="30" spans="1:3" ht="12.75">
      <c r="A30" s="119">
        <v>27</v>
      </c>
      <c r="B30" s="219" t="s">
        <v>528</v>
      </c>
      <c r="C30" s="146">
        <v>36</v>
      </c>
    </row>
    <row r="31" spans="1:3" ht="12.75">
      <c r="A31" s="119">
        <v>28</v>
      </c>
      <c r="B31" s="219" t="s">
        <v>529</v>
      </c>
      <c r="C31" s="146">
        <v>28</v>
      </c>
    </row>
    <row r="32" spans="1:3" ht="12.75">
      <c r="A32" s="119">
        <v>29</v>
      </c>
      <c r="B32" s="219" t="s">
        <v>248</v>
      </c>
      <c r="C32" s="146">
        <v>6</v>
      </c>
    </row>
    <row r="33" spans="1:3" ht="12.75">
      <c r="A33" s="119">
        <v>30</v>
      </c>
      <c r="B33" s="219" t="s">
        <v>338</v>
      </c>
      <c r="C33" s="146">
        <v>7</v>
      </c>
    </row>
    <row r="34" spans="1:3" ht="12.75">
      <c r="A34" s="119">
        <v>31</v>
      </c>
      <c r="B34" s="219" t="s">
        <v>247</v>
      </c>
      <c r="C34" s="146">
        <v>8</v>
      </c>
    </row>
    <row r="35" spans="1:3" ht="12.75">
      <c r="A35" s="119">
        <v>32</v>
      </c>
      <c r="B35" s="219" t="s">
        <v>329</v>
      </c>
      <c r="C35" s="146">
        <v>39</v>
      </c>
    </row>
    <row r="36" spans="1:3" ht="12.75">
      <c r="A36" s="119">
        <v>33</v>
      </c>
      <c r="B36" s="219" t="s">
        <v>332</v>
      </c>
      <c r="C36" s="146">
        <v>10</v>
      </c>
    </row>
    <row r="37" spans="1:3" ht="12.75">
      <c r="A37" s="119">
        <v>34</v>
      </c>
      <c r="B37" s="219" t="s">
        <v>333</v>
      </c>
      <c r="C37" s="146">
        <v>11</v>
      </c>
    </row>
    <row r="38" spans="1:3" ht="12.75">
      <c r="A38" s="119">
        <v>35</v>
      </c>
      <c r="B38" s="219" t="s">
        <v>334</v>
      </c>
      <c r="C38" s="146">
        <v>9</v>
      </c>
    </row>
    <row r="39" spans="1:3" ht="12.75">
      <c r="A39" s="119">
        <v>36</v>
      </c>
      <c r="B39" s="219" t="s">
        <v>336</v>
      </c>
      <c r="C39" s="146">
        <v>16</v>
      </c>
    </row>
    <row r="40" spans="1:3" ht="12.75">
      <c r="A40" s="119">
        <v>37</v>
      </c>
      <c r="B40" s="219" t="s">
        <v>530</v>
      </c>
      <c r="C40" s="146">
        <v>50</v>
      </c>
    </row>
    <row r="41" spans="1:3" ht="12.75">
      <c r="A41" s="119">
        <v>38</v>
      </c>
      <c r="B41" s="219" t="s">
        <v>531</v>
      </c>
      <c r="C41" s="146">
        <v>49</v>
      </c>
    </row>
    <row r="42" spans="1:3" ht="12.75">
      <c r="A42" s="119">
        <v>39</v>
      </c>
      <c r="B42" s="219" t="s">
        <v>532</v>
      </c>
      <c r="C42" s="146">
        <v>42</v>
      </c>
    </row>
    <row r="43" spans="1:3" ht="12.75">
      <c r="A43" s="119">
        <v>40</v>
      </c>
      <c r="B43" s="219" t="s">
        <v>533</v>
      </c>
      <c r="C43" s="146">
        <v>20</v>
      </c>
    </row>
    <row r="44" spans="1:3" ht="12.75">
      <c r="A44" s="119">
        <v>41</v>
      </c>
      <c r="B44" s="219" t="s">
        <v>534</v>
      </c>
      <c r="C44" s="146">
        <v>23</v>
      </c>
    </row>
    <row r="45" spans="1:3" ht="12.75">
      <c r="A45" s="119">
        <v>42</v>
      </c>
      <c r="B45" s="219" t="s">
        <v>535</v>
      </c>
      <c r="C45" s="146">
        <v>46</v>
      </c>
    </row>
    <row r="46" spans="1:3" ht="12.75">
      <c r="A46" s="119">
        <v>43</v>
      </c>
      <c r="B46" s="219" t="s">
        <v>536</v>
      </c>
      <c r="C46" s="146">
        <v>43</v>
      </c>
    </row>
    <row r="47" spans="1:3" ht="12.75">
      <c r="A47" s="119">
        <v>44</v>
      </c>
      <c r="B47" s="219" t="s">
        <v>537</v>
      </c>
      <c r="C47" s="146">
        <v>22</v>
      </c>
    </row>
    <row r="48" spans="1:3" ht="12.75">
      <c r="A48" s="119">
        <v>45</v>
      </c>
      <c r="B48" s="219" t="s">
        <v>538</v>
      </c>
      <c r="C48" s="146">
        <v>35</v>
      </c>
    </row>
    <row r="49" spans="1:3" ht="12.75">
      <c r="A49" s="119">
        <v>46</v>
      </c>
      <c r="B49" s="219" t="s">
        <v>539</v>
      </c>
      <c r="C49" s="146">
        <v>32</v>
      </c>
    </row>
    <row r="50" spans="1:3" ht="12.75">
      <c r="A50" s="119">
        <v>47</v>
      </c>
      <c r="B50" s="219" t="s">
        <v>540</v>
      </c>
      <c r="C50" s="146">
        <v>26</v>
      </c>
    </row>
    <row r="51" spans="1:3" ht="12.75">
      <c r="A51" s="119">
        <v>48</v>
      </c>
      <c r="B51" s="219" t="s">
        <v>541</v>
      </c>
      <c r="C51" s="146">
        <v>4</v>
      </c>
    </row>
    <row r="52" spans="1:3" ht="12.75">
      <c r="A52" s="119">
        <v>49</v>
      </c>
      <c r="B52" s="219" t="s">
        <v>542</v>
      </c>
      <c r="C52" s="146">
        <v>47</v>
      </c>
    </row>
    <row r="53" spans="1:3" ht="12.75">
      <c r="A53" s="119">
        <v>50</v>
      </c>
      <c r="B53" s="219" t="s">
        <v>543</v>
      </c>
      <c r="C53" s="146">
        <v>44</v>
      </c>
    </row>
    <row r="54" spans="1:3" ht="12.75">
      <c r="A54" s="119">
        <v>51</v>
      </c>
      <c r="B54" s="219" t="s">
        <v>544</v>
      </c>
      <c r="C54" s="146">
        <v>48</v>
      </c>
    </row>
    <row r="55" ht="11.25">
      <c r="A55" s="139"/>
    </row>
    <row r="56" ht="11.25">
      <c r="A56" s="139"/>
    </row>
    <row r="57" ht="11.25">
      <c r="A57" s="139"/>
    </row>
    <row r="58" ht="11.25">
      <c r="A58" s="139"/>
    </row>
    <row r="59" ht="11.25">
      <c r="A59" s="139"/>
    </row>
    <row r="60" ht="11.25">
      <c r="A60" s="139"/>
    </row>
    <row r="61" ht="11.25">
      <c r="A61" s="139"/>
    </row>
    <row r="62" ht="11.25">
      <c r="A62" s="139"/>
    </row>
    <row r="63" ht="11.25">
      <c r="A63" s="139"/>
    </row>
    <row r="64" ht="11.25">
      <c r="A64" s="139"/>
    </row>
    <row r="65" ht="11.25">
      <c r="A65" s="139"/>
    </row>
    <row r="66" ht="11.25">
      <c r="A66" s="139"/>
    </row>
    <row r="67" ht="11.25">
      <c r="A67" s="139"/>
    </row>
    <row r="68" ht="11.25">
      <c r="A68" s="139"/>
    </row>
    <row r="69" ht="11.25">
      <c r="A69" s="139"/>
    </row>
    <row r="70" ht="11.25">
      <c r="A70" s="139"/>
    </row>
    <row r="71" ht="11.25">
      <c r="A71" s="139"/>
    </row>
    <row r="72" ht="11.25">
      <c r="A72" s="139"/>
    </row>
    <row r="73" ht="11.25">
      <c r="A73" s="139"/>
    </row>
    <row r="74" ht="11.25">
      <c r="A74" s="139"/>
    </row>
    <row r="75" ht="11.25">
      <c r="A75" s="139"/>
    </row>
    <row r="76" ht="11.25">
      <c r="A76" s="139"/>
    </row>
    <row r="77" ht="11.25">
      <c r="A77" s="139"/>
    </row>
    <row r="78" ht="11.25">
      <c r="A78" s="139"/>
    </row>
    <row r="79" ht="11.25">
      <c r="A79" s="139"/>
    </row>
    <row r="80" ht="11.25">
      <c r="A80" s="139"/>
    </row>
    <row r="81" ht="11.25">
      <c r="A81" s="139"/>
    </row>
    <row r="82" ht="11.25">
      <c r="A82" s="139"/>
    </row>
    <row r="83" ht="11.25">
      <c r="A83" s="139"/>
    </row>
    <row r="84" ht="11.25">
      <c r="A84" s="139"/>
    </row>
    <row r="85" ht="11.25">
      <c r="A85" s="139"/>
    </row>
    <row r="86" ht="11.25">
      <c r="A86" s="139"/>
    </row>
    <row r="87" ht="11.25">
      <c r="A87" s="139"/>
    </row>
    <row r="88" ht="11.25">
      <c r="A88" s="139"/>
    </row>
    <row r="89" ht="11.25">
      <c r="A89" s="139"/>
    </row>
    <row r="90" ht="11.25">
      <c r="A90" s="139"/>
    </row>
    <row r="91" ht="11.25">
      <c r="A91" s="139"/>
    </row>
    <row r="92" ht="11.25">
      <c r="A92" s="139"/>
    </row>
    <row r="93" ht="11.25">
      <c r="A93" s="139"/>
    </row>
    <row r="94" ht="11.25">
      <c r="A94" s="139"/>
    </row>
    <row r="95" ht="11.25">
      <c r="A95" s="139"/>
    </row>
    <row r="96" ht="11.25">
      <c r="A96" s="139"/>
    </row>
    <row r="97" ht="11.25">
      <c r="A97" s="139"/>
    </row>
    <row r="98" ht="11.25">
      <c r="A98" s="139"/>
    </row>
    <row r="99" ht="11.25">
      <c r="A99" s="139"/>
    </row>
    <row r="100" ht="11.25">
      <c r="A100" s="139"/>
    </row>
    <row r="101" ht="11.25">
      <c r="A101" s="139"/>
    </row>
    <row r="102" ht="11.25">
      <c r="A102" s="139"/>
    </row>
    <row r="103" ht="11.25">
      <c r="A103" s="139"/>
    </row>
    <row r="104" ht="11.25">
      <c r="A104" s="139"/>
    </row>
    <row r="105" ht="11.25">
      <c r="A105" s="139"/>
    </row>
    <row r="106" ht="11.25">
      <c r="A106" s="139"/>
    </row>
    <row r="107" ht="11.25">
      <c r="A107" s="139"/>
    </row>
    <row r="108" ht="11.25">
      <c r="A108" s="139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O29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6.00390625" style="0" customWidth="1"/>
    <col min="2" max="2" width="8.00390625" style="0" customWidth="1"/>
    <col min="3" max="3" width="6.57421875" style="0" customWidth="1"/>
    <col min="4" max="4" width="6.7109375" style="0" customWidth="1"/>
    <col min="5" max="5" width="6.57421875" style="0" customWidth="1"/>
    <col min="6" max="6" width="6.7109375" style="0" customWidth="1"/>
    <col min="7" max="7" width="12.421875" style="0" customWidth="1"/>
  </cols>
  <sheetData>
    <row r="1" spans="1:18" ht="26.25">
      <c r="A1" s="30" t="s">
        <v>230</v>
      </c>
      <c r="B1" s="6"/>
      <c r="C1" s="6"/>
      <c r="D1" s="6"/>
      <c r="E1" s="6"/>
      <c r="F1" s="6"/>
      <c r="P1" t="s">
        <v>6</v>
      </c>
      <c r="Q1" t="s">
        <v>553</v>
      </c>
      <c r="R1" t="s">
        <v>228</v>
      </c>
    </row>
    <row r="2" spans="1:29" ht="12.75">
      <c r="A2" s="24"/>
      <c r="B2" s="6"/>
      <c r="C2" s="11"/>
      <c r="D2" s="6"/>
      <c r="E2" s="6"/>
      <c r="F2" s="6"/>
      <c r="G2" s="11"/>
      <c r="H2" s="6"/>
      <c r="I2" s="7" t="s">
        <v>153</v>
      </c>
      <c r="J2" s="12" t="s">
        <v>157</v>
      </c>
      <c r="M2" s="12" t="s">
        <v>158</v>
      </c>
      <c r="O2" s="8"/>
      <c r="P2" s="1" t="s">
        <v>161</v>
      </c>
      <c r="Q2" s="1"/>
      <c r="R2" s="323" t="s">
        <v>27</v>
      </c>
      <c r="S2" s="325"/>
      <c r="T2" s="1"/>
      <c r="U2" s="7"/>
      <c r="V2" s="7"/>
      <c r="W2" s="1"/>
      <c r="Y2" s="8"/>
      <c r="AA2" s="8"/>
      <c r="AB2" s="1" t="s">
        <v>685</v>
      </c>
      <c r="AC2" s="1" t="s">
        <v>685</v>
      </c>
    </row>
    <row r="3" spans="1:41" ht="12.75">
      <c r="A3" s="18" t="s">
        <v>36</v>
      </c>
      <c r="B3" s="23" t="s">
        <v>163</v>
      </c>
      <c r="C3" s="408" t="s">
        <v>1</v>
      </c>
      <c r="D3" s="408"/>
      <c r="E3" s="408"/>
      <c r="F3" s="408"/>
      <c r="G3" s="409" t="s">
        <v>155</v>
      </c>
      <c r="H3" s="408"/>
      <c r="I3" s="7" t="s">
        <v>154</v>
      </c>
      <c r="J3" s="12" t="s">
        <v>154</v>
      </c>
      <c r="K3" s="324" t="s">
        <v>165</v>
      </c>
      <c r="L3" s="407"/>
      <c r="M3" s="12" t="s">
        <v>159</v>
      </c>
      <c r="N3" s="1" t="s">
        <v>160</v>
      </c>
      <c r="O3" s="12" t="s">
        <v>6</v>
      </c>
      <c r="P3" s="1" t="s">
        <v>6</v>
      </c>
      <c r="Q3" s="1"/>
      <c r="R3" s="7" t="s">
        <v>28</v>
      </c>
      <c r="S3" s="12" t="s">
        <v>29</v>
      </c>
      <c r="T3" s="1" t="s">
        <v>30</v>
      </c>
      <c r="U3" s="7" t="s">
        <v>31</v>
      </c>
      <c r="V3" s="7" t="s">
        <v>552</v>
      </c>
      <c r="W3" s="1" t="s">
        <v>7</v>
      </c>
      <c r="X3" s="1" t="s">
        <v>17</v>
      </c>
      <c r="Y3" s="12" t="s">
        <v>162</v>
      </c>
      <c r="Z3" s="1" t="s">
        <v>18</v>
      </c>
      <c r="AA3" s="12" t="s">
        <v>19</v>
      </c>
      <c r="AB3" s="1" t="s">
        <v>560</v>
      </c>
      <c r="AC3" s="1" t="s">
        <v>686</v>
      </c>
      <c r="AD3" s="1"/>
      <c r="AE3" s="1"/>
      <c r="AF3" s="1"/>
      <c r="AG3" s="1"/>
      <c r="AH3" s="407"/>
      <c r="AI3" s="407"/>
      <c r="AJ3" s="1"/>
      <c r="AK3" s="1"/>
      <c r="AL3" s="1"/>
      <c r="AM3" s="1"/>
      <c r="AN3" s="1"/>
      <c r="AO3" s="1"/>
    </row>
    <row r="4" spans="1:41" ht="13.5" thickBot="1">
      <c r="A4" s="19"/>
      <c r="B4" s="21" t="s">
        <v>164</v>
      </c>
      <c r="C4" s="16" t="s">
        <v>167</v>
      </c>
      <c r="D4" s="19" t="s">
        <v>44</v>
      </c>
      <c r="E4" s="16" t="s">
        <v>168</v>
      </c>
      <c r="F4" s="19" t="s">
        <v>45</v>
      </c>
      <c r="G4" s="16" t="s">
        <v>20</v>
      </c>
      <c r="H4" s="19" t="s">
        <v>156</v>
      </c>
      <c r="I4" s="4" t="s">
        <v>169</v>
      </c>
      <c r="J4" s="13" t="s">
        <v>156</v>
      </c>
      <c r="K4" s="4" t="s">
        <v>20</v>
      </c>
      <c r="L4" s="13" t="s">
        <v>156</v>
      </c>
      <c r="M4" s="13" t="s">
        <v>156</v>
      </c>
      <c r="N4" s="4" t="s">
        <v>169</v>
      </c>
      <c r="O4" s="13" t="s">
        <v>169</v>
      </c>
      <c r="P4" s="4" t="s">
        <v>169</v>
      </c>
      <c r="Q4" s="4" t="s">
        <v>169</v>
      </c>
      <c r="R4" s="25" t="s">
        <v>169</v>
      </c>
      <c r="S4" s="13" t="s">
        <v>166</v>
      </c>
      <c r="T4" s="4" t="s">
        <v>166</v>
      </c>
      <c r="U4" s="25"/>
      <c r="V4" s="25"/>
      <c r="W4" s="4" t="s">
        <v>169</v>
      </c>
      <c r="X4" s="4" t="s">
        <v>169</v>
      </c>
      <c r="Y4" s="13" t="s">
        <v>169</v>
      </c>
      <c r="Z4" s="4" t="s">
        <v>169</v>
      </c>
      <c r="AA4" s="13" t="s">
        <v>166</v>
      </c>
      <c r="AB4" s="25" t="s">
        <v>562</v>
      </c>
      <c r="AC4" s="4" t="s">
        <v>687</v>
      </c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4.25">
      <c r="A5" s="12">
        <f>Lomake!A15</f>
        <v>1</v>
      </c>
      <c r="B5" s="31">
        <v>7</v>
      </c>
      <c r="C5" s="9" t="str">
        <f ca="1">IF(INDIRECT(CONCATENATE("Tietokanta!",ADDRESS(B5+2,2)))&gt;0,INDIRECT(CONCATENATE("Tietokanta!",ADDRESS(B5+2,2))),"")</f>
        <v>62</v>
      </c>
      <c r="D5" s="12">
        <f ca="1">IF(C5&lt;&gt;"",INDIRECT(CONCATENATE("Tietokanta!",ADDRESS(B5+2,3))),"")</f>
        <v>33.28333333333333</v>
      </c>
      <c r="E5" s="9" t="str">
        <f ca="1">IF(C5&lt;&gt;"",INDIRECT(CONCATENATE("Tietokanta!",ADDRESS(B5+2,4))),"")</f>
        <v>23</v>
      </c>
      <c r="F5" s="14">
        <f ca="1">IF(C5&lt;&gt;"",INDIRECT(CONCATENATE("Tietokanta!",ADDRESS(B5+2,5))),"")</f>
        <v>34.4</v>
      </c>
      <c r="G5" s="1">
        <f>(C6*60+D6)-(C5*60+D5)</f>
        <v>8.333333333333485</v>
      </c>
      <c r="H5" s="12">
        <f>G5*40000/(360*60)</f>
        <v>15.43209876543238</v>
      </c>
      <c r="I5" s="1">
        <f>((C5*60+D5)+(C6*60+D6))/2/60</f>
        <v>62.62416666666666</v>
      </c>
      <c r="J5" s="12">
        <f>COS(RADIANS(I5))*6366*2*PI()/(360*60)</f>
        <v>0.8515018382405112</v>
      </c>
      <c r="K5" s="1">
        <f>(E6*60+F6)-(E5*60+F5)</f>
        <v>-44.48333333333335</v>
      </c>
      <c r="L5" s="12">
        <f>J5*K5</f>
        <v>-37.87764010439875</v>
      </c>
      <c r="M5" s="12">
        <f>SQRT(H5^2+L5^2)</f>
        <v>40.90067593798929</v>
      </c>
      <c r="N5">
        <f>DEGREES(ATAN(ABS(H5/L5)))</f>
        <v>22.166952463278893</v>
      </c>
      <c r="O5" s="8">
        <f>IF(H5&gt;0,IF(L5&gt;0,90-N5,270+N5),IF(L5&gt;0,90+N5,270-N5))</f>
        <v>292.1669524632789</v>
      </c>
      <c r="P5" s="1">
        <f>IF(O5&gt;=360,O5-360,O5)</f>
        <v>292.1669524632789</v>
      </c>
      <c r="Q5" s="10">
        <f>IF(P5-Lomake!$D$7&gt;=360,P5-Lomake!$D$7-360,IF(P5-Lomake!$D$7&lt;0,P5-Lomake!$D$7+360,P5-Lomake!$D$7))</f>
        <v>285.1669524632789</v>
      </c>
      <c r="R5" s="7">
        <f>Lomake!$D$5</f>
        <v>5</v>
      </c>
      <c r="S5" s="12">
        <f>IF($B$24,Lomake!$D$6,Lomake!$D$6*1.852)</f>
        <v>5</v>
      </c>
      <c r="T5" s="3">
        <f>Lomake!$D$4</f>
        <v>185</v>
      </c>
      <c r="U5" s="249">
        <f>R5-Q5</f>
        <v>-280.1669524632789</v>
      </c>
      <c r="V5" s="7">
        <f>(S5*SIN(RADIANS(U5))/T5)</f>
        <v>0.02660263742326946</v>
      </c>
      <c r="W5" s="3">
        <f>DEGREES(ATAN(V5/SQRT(-V5*V5+1)))</f>
        <v>1.5243986872423572</v>
      </c>
      <c r="X5" s="15">
        <f aca="true" t="shared" si="0" ref="X5:X18">IF(Q5+W5&gt;=360,Q5+W5-360,IF(Q5+W5&lt;0,Q5+W5+360,Q5+W5))</f>
        <v>286.69135115052126</v>
      </c>
      <c r="Y5" s="15">
        <f aca="true" t="shared" si="1" ref="Y5:Y18">IF(X5&gt;=315,N28+(G28-N28)*(X5-315)/45,IF(X5&gt;=270,M28+(N28-M28)*(X5-270)/45,IF(X5&gt;=225,L28+(M28-L28)*(X5-225)/45,IF(X5&gt;=180,K28+(L28-K28)*(X5-180)/45,IF(X5&gt;=135,J28+(K28-J28)*(X5-135)/45,IF(X5&gt;=90,I28+(J28-I28)*(X5-90)/45,IF(X5&gt;=45,H28+(I28-H28)*(X5-45)/45,IF(X5&gt;=0,G28+(H28-G28)*(X5-0)/45,0))))))))</f>
        <v>0</v>
      </c>
      <c r="Z5" s="3">
        <f>X5-Y5</f>
        <v>286.69135115052126</v>
      </c>
      <c r="AA5" s="281">
        <f>SQRT(T5*T5+S5*S5-2*S5*T5*COS(RADIANS(U5-W5)))</f>
        <v>184.051940942789</v>
      </c>
      <c r="AB5" s="282">
        <f ca="1">IF(INDIRECT(CONCATENATE("Tietokanta!",ADDRESS(B5+2,18)))&gt;0,INDIRECT(CONCATENATE("Tietokanta!",ADDRESS(B5+2,18))),"")</f>
        <v>124</v>
      </c>
      <c r="AC5" s="283">
        <f>IF(Laskenta!$B$24,IF(ISNUMBER(Laskenta!AB5),IF(Laskenta!$B$24,Laskenta!AB5*3.2808399),""),"")</f>
        <v>406.8241476</v>
      </c>
      <c r="AJ5" s="1"/>
      <c r="AK5" s="10"/>
      <c r="AL5" s="1"/>
      <c r="AM5" s="10"/>
      <c r="AN5" s="10"/>
      <c r="AO5" s="10"/>
    </row>
    <row r="6" spans="1:29" ht="14.25">
      <c r="A6" s="12">
        <f>Lomake!A17</f>
        <v>2</v>
      </c>
      <c r="B6" s="31">
        <v>77</v>
      </c>
      <c r="C6" s="9" t="str">
        <f aca="true" ca="1" t="shared" si="2" ref="C6:C19">IF(INDIRECT(CONCATENATE("Tietokanta!",ADDRESS(B6+2,2)))&gt;0,INDIRECT(CONCATENATE("Tietokanta!",ADDRESS(B6+2,2))),"")</f>
        <v>62</v>
      </c>
      <c r="D6" s="12">
        <f aca="true" ca="1" t="shared" si="3" ref="D6:D19">IF(C6&lt;&gt;"",INDIRECT(CONCATENATE("Tietokanta!",ADDRESS(B6+2,3))),"")</f>
        <v>41.61666666666667</v>
      </c>
      <c r="E6" s="9" t="str">
        <f aca="true" ca="1" t="shared" si="4" ref="E6:E19">IF(C6&lt;&gt;"",INDIRECT(CONCATENATE("Tietokanta!",ADDRESS(B6+2,4))),"")</f>
        <v>22</v>
      </c>
      <c r="F6" s="14">
        <f aca="true" ca="1" t="shared" si="5" ref="F6:F19">IF(C6&lt;&gt;"",INDIRECT(CONCATENATE("Tietokanta!",ADDRESS(B6+2,5))),"")</f>
        <v>49.916666666666664</v>
      </c>
      <c r="G6" s="1">
        <f aca="true" t="shared" si="6" ref="G6:G18">(C7*60+D7)-(C6*60+D6)</f>
        <v>340.25</v>
      </c>
      <c r="H6" s="12">
        <f aca="true" t="shared" si="7" ref="H6:H18">G6*40000/(360*60)</f>
        <v>630.0925925925926</v>
      </c>
      <c r="I6" s="1">
        <f aca="true" t="shared" si="8" ref="I6:I18">((C6*60+D6)+(C7*60+D7))/2/60</f>
        <v>65.52902777777778</v>
      </c>
      <c r="J6" s="12">
        <f aca="true" t="shared" si="9" ref="J6:J18">COS(RADIANS(I6))*6366*2*PI()/(360*60)</f>
        <v>0.7670727965439006</v>
      </c>
      <c r="K6" s="1">
        <f aca="true" t="shared" si="10" ref="K6:K18">(E7*60+F7)-(E6*60+F6)</f>
        <v>35.73333333333335</v>
      </c>
      <c r="L6" s="12">
        <f aca="true" t="shared" si="11" ref="L6:L18">J6*K6</f>
        <v>27.410067929835392</v>
      </c>
      <c r="M6" s="12">
        <f aca="true" t="shared" si="12" ref="M6:M18">SQRT(H6^2+L6^2)</f>
        <v>630.6885024035028</v>
      </c>
      <c r="N6">
        <f aca="true" t="shared" si="13" ref="N6:N18">DEGREES(ATAN(ABS(H6/L6)))</f>
        <v>87.50910946407107</v>
      </c>
      <c r="O6" s="8">
        <f aca="true" t="shared" si="14" ref="O6:O18">IF(H6&gt;0,IF(L6&gt;0,90-N6,270+N6),IF(L6&gt;0,90+N6,270-N6))</f>
        <v>2.4908905359289264</v>
      </c>
      <c r="P6" s="1">
        <f aca="true" t="shared" si="15" ref="P6:P18">IF(O6&gt;=360,O6-360,O6)</f>
        <v>2.4908905359289264</v>
      </c>
      <c r="Q6" s="10">
        <f>IF(P6-Lomake!$D$7&gt;=360,P6-Lomake!$D$7-360,IF(P6-Lomake!$D$7&lt;0,P6-Lomake!$D$7+360,P6-Lomake!$D$7))</f>
        <v>355.49089053592894</v>
      </c>
      <c r="R6" s="7">
        <f>Lomake!$D$5</f>
        <v>5</v>
      </c>
      <c r="S6" s="12">
        <f>IF($B$24,Lomake!$D$6,Lomake!$D$6*1.852)</f>
        <v>5</v>
      </c>
      <c r="T6" s="3">
        <f>Lomake!$D$4</f>
        <v>185</v>
      </c>
      <c r="U6" s="249">
        <f aca="true" t="shared" si="16" ref="U6:U18">R6-Q6</f>
        <v>-350.49089053592894</v>
      </c>
      <c r="V6" s="7">
        <f aca="true" t="shared" si="17" ref="V6:V18">(S6*SIN(RADIANS(U6))/T6)</f>
        <v>0.004464984147593961</v>
      </c>
      <c r="W6" s="3">
        <f aca="true" t="shared" si="18" ref="W6:W18">DEGREES(ATAN(V6/SQRT(-V6*V6+1)))</f>
        <v>0.25582559728149507</v>
      </c>
      <c r="X6" s="15">
        <f t="shared" si="0"/>
        <v>355.74671613321044</v>
      </c>
      <c r="Y6" s="15">
        <f t="shared" si="1"/>
        <v>0</v>
      </c>
      <c r="Z6" s="3">
        <f aca="true" t="shared" si="19" ref="Z6:Z18">X6-Y6</f>
        <v>355.74671613321044</v>
      </c>
      <c r="AA6" s="281">
        <f aca="true" t="shared" si="20" ref="AA6:AA18">SQRT(T6*T6+S6*S6-2*S6*T6*COS(RADIANS(U6-W6)))</f>
        <v>180.0668591624429</v>
      </c>
      <c r="AB6" s="284">
        <f aca="true" ca="1" t="shared" si="21" ref="AB6:AB18">IF(INDIRECT(CONCATENATE("Tietokanta!",ADDRESS(B6+2,18)))&gt;0,INDIRECT(CONCATENATE("Tietokanta!",ADDRESS(B6+2,18))),"")</f>
        <v>92</v>
      </c>
      <c r="AC6" s="285">
        <f>IF(Laskenta!$B$24,IF(ISNUMBER(Laskenta!AB6),IF(Laskenta!$B$24,Laskenta!AB6*3.2808399),""),"")</f>
        <v>301.8372708</v>
      </c>
    </row>
    <row r="7" spans="1:41" ht="14.25">
      <c r="A7" s="12">
        <f>Lomake!A19</f>
        <v>3</v>
      </c>
      <c r="B7" s="31">
        <v>9</v>
      </c>
      <c r="C7" s="9" t="str">
        <f ca="1" t="shared" si="2"/>
        <v>68</v>
      </c>
      <c r="D7" s="12">
        <f ca="1" t="shared" si="3"/>
        <v>21.866666666666667</v>
      </c>
      <c r="E7" s="9" t="str">
        <f ca="1" t="shared" si="4"/>
        <v>23</v>
      </c>
      <c r="F7" s="14">
        <f ca="1" t="shared" si="5"/>
        <v>25.65</v>
      </c>
      <c r="G7" s="1">
        <f t="shared" si="6"/>
        <v>-453.75</v>
      </c>
      <c r="H7" s="12">
        <f t="shared" si="7"/>
        <v>-840.2777777777778</v>
      </c>
      <c r="I7" s="1">
        <f t="shared" si="8"/>
        <v>64.58319444444444</v>
      </c>
      <c r="J7" s="12">
        <f t="shared" si="9"/>
        <v>0.7947902667194932</v>
      </c>
      <c r="K7" s="1">
        <f t="shared" si="10"/>
        <v>13.083333333333258</v>
      </c>
      <c r="L7" s="12">
        <f t="shared" si="11"/>
        <v>10.398505989579975</v>
      </c>
      <c r="M7" s="12">
        <f t="shared" si="12"/>
        <v>840.3421164942145</v>
      </c>
      <c r="N7">
        <f t="shared" si="13"/>
        <v>89.29099624987094</v>
      </c>
      <c r="O7" s="8">
        <f t="shared" si="14"/>
        <v>179.29099624987094</v>
      </c>
      <c r="P7" s="1">
        <f t="shared" si="15"/>
        <v>179.29099624987094</v>
      </c>
      <c r="Q7" s="10">
        <f>IF(P7-Lomake!$D$7&gt;=360,P7-Lomake!$D$7-360,IF(P7-Lomake!$D$7&lt;0,P7-Lomake!$D$7+360,P7-Lomake!$D$7))</f>
        <v>172.29099624987094</v>
      </c>
      <c r="R7" s="7">
        <f>Lomake!$D$5</f>
        <v>5</v>
      </c>
      <c r="S7" s="12">
        <f>IF($B$24,Lomake!$D$6,Lomake!$D$6*1.852)</f>
        <v>5</v>
      </c>
      <c r="T7" s="3">
        <f>Lomake!$D$4</f>
        <v>185</v>
      </c>
      <c r="U7" s="249">
        <f t="shared" si="16"/>
        <v>-167.29099624987094</v>
      </c>
      <c r="V7" s="7">
        <f t="shared" si="17"/>
        <v>-0.005945932489089604</v>
      </c>
      <c r="W7" s="3">
        <f t="shared" si="18"/>
        <v>-0.34067884431439505</v>
      </c>
      <c r="X7" s="15">
        <f t="shared" si="0"/>
        <v>171.95031740555655</v>
      </c>
      <c r="Y7" s="15">
        <f t="shared" si="1"/>
        <v>0</v>
      </c>
      <c r="Z7" s="3">
        <f t="shared" si="19"/>
        <v>171.95031740555655</v>
      </c>
      <c r="AA7" s="281">
        <f t="shared" si="20"/>
        <v>189.87422963637934</v>
      </c>
      <c r="AB7" s="284">
        <f ca="1" t="shared" si="21"/>
        <v>304</v>
      </c>
      <c r="AC7" s="285">
        <f>IF(Laskenta!$B$24,IF(ISNUMBER(Laskenta!AB7),IF(Laskenta!$B$24,Laskenta!AB7*3.2808399),""),"")</f>
        <v>997.3753296</v>
      </c>
      <c r="AD7" s="3"/>
      <c r="AE7" s="1"/>
      <c r="AF7" s="3"/>
      <c r="AG7" s="1"/>
      <c r="AH7" s="1"/>
      <c r="AI7" s="1"/>
      <c r="AJ7" s="1"/>
      <c r="AK7" s="10"/>
      <c r="AL7" s="1"/>
      <c r="AM7" s="10"/>
      <c r="AN7" s="10"/>
      <c r="AO7" s="10"/>
    </row>
    <row r="8" spans="1:29" ht="14.25">
      <c r="A8" s="12">
        <f>Lomake!A21</f>
        <v>4</v>
      </c>
      <c r="B8" s="31">
        <v>11</v>
      </c>
      <c r="C8" s="9" t="str">
        <f ca="1" t="shared" si="2"/>
        <v>60</v>
      </c>
      <c r="D8" s="12">
        <f ca="1" t="shared" si="3"/>
        <v>48.11666666666667</v>
      </c>
      <c r="E8" s="9" t="str">
        <f ca="1" t="shared" si="4"/>
        <v>23</v>
      </c>
      <c r="F8" s="14">
        <f ca="1" t="shared" si="5"/>
        <v>38.733333333333334</v>
      </c>
      <c r="G8" s="1">
        <f t="shared" si="6"/>
        <v>63.266666666666424</v>
      </c>
      <c r="H8" s="12">
        <f t="shared" si="7"/>
        <v>117.16049382716004</v>
      </c>
      <c r="I8" s="1">
        <f t="shared" si="8"/>
        <v>61.329166666666666</v>
      </c>
      <c r="J8" s="12">
        <f t="shared" si="9"/>
        <v>0.8884481834663502</v>
      </c>
      <c r="K8" s="1">
        <f t="shared" si="10"/>
        <v>68.61666666666656</v>
      </c>
      <c r="L8" s="12">
        <f t="shared" si="11"/>
        <v>60.962352855515974</v>
      </c>
      <c r="M8" s="12">
        <f t="shared" si="12"/>
        <v>132.07191139490806</v>
      </c>
      <c r="N8">
        <f t="shared" si="13"/>
        <v>62.51059748427657</v>
      </c>
      <c r="O8" s="8">
        <f t="shared" si="14"/>
        <v>27.489402515723427</v>
      </c>
      <c r="P8" s="1">
        <f t="shared" si="15"/>
        <v>27.489402515723427</v>
      </c>
      <c r="Q8" s="10">
        <f>IF(P8-Lomake!$D$7&gt;=360,P8-Lomake!$D$7-360,IF(P8-Lomake!$D$7&lt;0,P8-Lomake!$D$7+360,P8-Lomake!$D$7))</f>
        <v>20.489402515723427</v>
      </c>
      <c r="R8" s="7">
        <f>Lomake!$D$5</f>
        <v>5</v>
      </c>
      <c r="S8" s="12">
        <f>IF($B$24,Lomake!$D$6,Lomake!$D$6*1.852)</f>
        <v>5</v>
      </c>
      <c r="T8" s="3">
        <f>Lomake!$D$4</f>
        <v>185</v>
      </c>
      <c r="U8" s="249">
        <f t="shared" si="16"/>
        <v>-15.489402515723427</v>
      </c>
      <c r="V8" s="7">
        <f t="shared" si="17"/>
        <v>-0.007217841553041125</v>
      </c>
      <c r="W8" s="3">
        <f t="shared" si="18"/>
        <v>-0.41355544908576575</v>
      </c>
      <c r="X8" s="15">
        <f t="shared" si="0"/>
        <v>20.07584706663766</v>
      </c>
      <c r="Y8" s="15">
        <f t="shared" si="1"/>
        <v>0</v>
      </c>
      <c r="Z8" s="3">
        <f t="shared" si="19"/>
        <v>20.07584706663766</v>
      </c>
      <c r="AA8" s="281">
        <f t="shared" si="20"/>
        <v>180.176781615838</v>
      </c>
      <c r="AB8" s="284">
        <f ca="1" t="shared" si="21"/>
        <v>99</v>
      </c>
      <c r="AC8" s="285">
        <f>IF(Laskenta!$B$24,IF(ISNUMBER(Laskenta!AB8),IF(Laskenta!$B$24,Laskenta!AB8*3.2808399),""),"")</f>
        <v>324.80315010000004</v>
      </c>
    </row>
    <row r="9" spans="1:41" ht="14.25">
      <c r="A9" s="12">
        <f>Lomake!A23</f>
        <v>5</v>
      </c>
      <c r="B9" s="31">
        <v>13</v>
      </c>
      <c r="C9" s="9" t="str">
        <f ca="1" t="shared" si="2"/>
        <v>61</v>
      </c>
      <c r="D9" s="12">
        <f ca="1" t="shared" si="3"/>
        <v>51.38333333333333</v>
      </c>
      <c r="E9" s="9" t="str">
        <f ca="1" t="shared" si="4"/>
        <v>24</v>
      </c>
      <c r="F9" s="14">
        <f ca="1" t="shared" si="5"/>
        <v>47.35</v>
      </c>
      <c r="G9" s="1">
        <f t="shared" si="6"/>
        <v>-96.15000000000009</v>
      </c>
      <c r="H9" s="12">
        <f t="shared" si="7"/>
        <v>-178.05555555555574</v>
      </c>
      <c r="I9" s="1">
        <f t="shared" si="8"/>
        <v>61.05513888888889</v>
      </c>
      <c r="J9" s="12">
        <f t="shared" si="9"/>
        <v>0.8962086478679788</v>
      </c>
      <c r="K9" s="1">
        <f t="shared" si="10"/>
        <v>15.300000000000182</v>
      </c>
      <c r="L9" s="12">
        <f t="shared" si="11"/>
        <v>13.71199231238024</v>
      </c>
      <c r="M9" s="12">
        <f t="shared" si="12"/>
        <v>178.58275279929015</v>
      </c>
      <c r="N9">
        <f t="shared" si="13"/>
        <v>85.59636476787615</v>
      </c>
      <c r="O9" s="8">
        <f t="shared" si="14"/>
        <v>175.59636476787614</v>
      </c>
      <c r="P9" s="1">
        <f t="shared" si="15"/>
        <v>175.59636476787614</v>
      </c>
      <c r="Q9" s="10">
        <f>IF(P9-Lomake!$D$7&gt;=360,P9-Lomake!$D$7-360,IF(P9-Lomake!$D$7&lt;0,P9-Lomake!$D$7+360,P9-Lomake!$D$7))</f>
        <v>168.59636476787614</v>
      </c>
      <c r="R9" s="7">
        <f>Lomake!$D$5</f>
        <v>5</v>
      </c>
      <c r="S9" s="12">
        <f>IF($B$24,Lomake!$D$6,Lomake!$D$6*1.852)</f>
        <v>5</v>
      </c>
      <c r="T9" s="3">
        <f>Lomake!$D$4</f>
        <v>185</v>
      </c>
      <c r="U9" s="249">
        <f t="shared" si="16"/>
        <v>-163.59636476787614</v>
      </c>
      <c r="V9" s="7">
        <f t="shared" si="17"/>
        <v>-0.007632495179656883</v>
      </c>
      <c r="W9" s="3">
        <f t="shared" si="18"/>
        <v>-0.4373140069716845</v>
      </c>
      <c r="X9" s="15">
        <f t="shared" si="0"/>
        <v>168.15905076090445</v>
      </c>
      <c r="Y9" s="15">
        <f t="shared" si="1"/>
        <v>0</v>
      </c>
      <c r="Z9" s="3">
        <f t="shared" si="19"/>
        <v>168.15905076090445</v>
      </c>
      <c r="AA9" s="281">
        <f t="shared" si="20"/>
        <v>189.7910916304022</v>
      </c>
      <c r="AB9" s="284">
        <f ca="1" t="shared" si="21"/>
        <v>146</v>
      </c>
      <c r="AC9" s="285">
        <f>IF(Laskenta!$B$24,IF(ISNUMBER(Laskenta!AB9),IF(Laskenta!$B$24,Laskenta!AB9*3.2808399),""),"")</f>
        <v>479.0026254</v>
      </c>
      <c r="AD9" s="3"/>
      <c r="AE9" s="1"/>
      <c r="AF9" s="3"/>
      <c r="AG9" s="1"/>
      <c r="AH9" s="1"/>
      <c r="AI9" s="1"/>
      <c r="AJ9" s="1"/>
      <c r="AK9" s="10"/>
      <c r="AL9" s="1"/>
      <c r="AM9" s="10"/>
      <c r="AN9" s="10"/>
      <c r="AO9" s="10"/>
    </row>
    <row r="10" spans="1:29" ht="14.25">
      <c r="A10" s="12">
        <f>Lomake!A25</f>
        <v>6</v>
      </c>
      <c r="B10" s="31">
        <v>15</v>
      </c>
      <c r="C10" s="9" t="str">
        <f ca="1" t="shared" si="2"/>
        <v>60</v>
      </c>
      <c r="D10" s="12">
        <f ca="1" t="shared" si="3"/>
        <v>15.233333333333333</v>
      </c>
      <c r="E10" s="9" t="str">
        <f ca="1" t="shared" si="4"/>
        <v>25</v>
      </c>
      <c r="F10" s="14">
        <f ca="1" t="shared" si="5"/>
        <v>2.65</v>
      </c>
      <c r="G10" s="1">
        <f t="shared" si="6"/>
        <v>32.88333333333367</v>
      </c>
      <c r="H10" s="12">
        <f t="shared" si="7"/>
        <v>60.89506172839568</v>
      </c>
      <c r="I10" s="1">
        <f t="shared" si="8"/>
        <v>60.52791666666667</v>
      </c>
      <c r="J10" s="12">
        <f t="shared" si="9"/>
        <v>0.9110817607818894</v>
      </c>
      <c r="K10" s="1">
        <f t="shared" si="10"/>
        <v>-83.91666666666674</v>
      </c>
      <c r="L10" s="12">
        <f t="shared" si="11"/>
        <v>-76.45494442561362</v>
      </c>
      <c r="M10" s="12">
        <f t="shared" si="12"/>
        <v>97.74235044252204</v>
      </c>
      <c r="N10">
        <f t="shared" si="13"/>
        <v>38.53672497095703</v>
      </c>
      <c r="O10" s="8">
        <f t="shared" si="14"/>
        <v>308.53672497095704</v>
      </c>
      <c r="P10" s="1">
        <f t="shared" si="15"/>
        <v>308.53672497095704</v>
      </c>
      <c r="Q10" s="10">
        <f>IF(P10-Lomake!$D$7&gt;=360,P10-Lomake!$D$7-360,IF(P10-Lomake!$D$7&lt;0,P10-Lomake!$D$7+360,P10-Lomake!$D$7))</f>
        <v>301.53672497095704</v>
      </c>
      <c r="R10" s="7">
        <f>Lomake!$D$5</f>
        <v>5</v>
      </c>
      <c r="S10" s="12">
        <f>IF($B$24,Lomake!$D$6,Lomake!$D$6*1.852)</f>
        <v>5</v>
      </c>
      <c r="T10" s="3">
        <f>Lomake!$D$4</f>
        <v>185</v>
      </c>
      <c r="U10" s="249">
        <f t="shared" si="16"/>
        <v>-296.53672497095704</v>
      </c>
      <c r="V10" s="7">
        <f t="shared" si="17"/>
        <v>0.024179680476452702</v>
      </c>
      <c r="W10" s="3">
        <f t="shared" si="18"/>
        <v>1.385528673474682</v>
      </c>
      <c r="X10" s="15">
        <f t="shared" si="0"/>
        <v>302.92225364443175</v>
      </c>
      <c r="Y10" s="15">
        <f t="shared" si="1"/>
        <v>0</v>
      </c>
      <c r="Z10" s="3">
        <f t="shared" si="19"/>
        <v>302.92225364443175</v>
      </c>
      <c r="AA10" s="281">
        <f t="shared" si="20"/>
        <v>182.71205458045102</v>
      </c>
      <c r="AB10" s="284">
        <f ca="1" t="shared" si="21"/>
        <v>17</v>
      </c>
      <c r="AC10" s="285">
        <f>IF(Laskenta!$B$24,IF(ISNUMBER(Laskenta!AB10),IF(Laskenta!$B$24,Laskenta!AB10*3.2808399),""),"")</f>
        <v>55.774278300000006</v>
      </c>
    </row>
    <row r="11" spans="1:41" ht="14.25">
      <c r="A11" s="12">
        <f>Lomake!A27</f>
        <v>7</v>
      </c>
      <c r="B11" s="31">
        <v>11</v>
      </c>
      <c r="C11" s="9" t="str">
        <f ca="1" t="shared" si="2"/>
        <v>60</v>
      </c>
      <c r="D11" s="12">
        <f ca="1" t="shared" si="3"/>
        <v>48.11666666666667</v>
      </c>
      <c r="E11" s="9" t="str">
        <f ca="1" t="shared" si="4"/>
        <v>23</v>
      </c>
      <c r="F11" s="14">
        <f ca="1" t="shared" si="5"/>
        <v>38.733333333333334</v>
      </c>
      <c r="G11" s="1">
        <f t="shared" si="6"/>
        <v>249.9000000000001</v>
      </c>
      <c r="H11" s="12">
        <f t="shared" si="7"/>
        <v>462.77777777777794</v>
      </c>
      <c r="I11" s="1">
        <f t="shared" si="8"/>
        <v>62.88444444444444</v>
      </c>
      <c r="J11" s="12">
        <f t="shared" si="9"/>
        <v>0.8440230062424303</v>
      </c>
      <c r="K11" s="1">
        <f t="shared" si="10"/>
        <v>63.5333333333333</v>
      </c>
      <c r="L11" s="12">
        <f t="shared" si="11"/>
        <v>53.62359499660238</v>
      </c>
      <c r="M11" s="12">
        <f t="shared" si="12"/>
        <v>465.8741906838133</v>
      </c>
      <c r="N11">
        <f t="shared" si="13"/>
        <v>83.39042437517536</v>
      </c>
      <c r="O11" s="8">
        <f t="shared" si="14"/>
        <v>6.609575624824643</v>
      </c>
      <c r="P11" s="1">
        <f t="shared" si="15"/>
        <v>6.609575624824643</v>
      </c>
      <c r="Q11" s="10">
        <f>IF(P11-Lomake!$D$7&gt;=360,P11-Lomake!$D$7-360,IF(P11-Lomake!$D$7&lt;0,P11-Lomake!$D$7+360,P11-Lomake!$D$7))</f>
        <v>359.60957562482463</v>
      </c>
      <c r="R11" s="7">
        <f>Lomake!$D$5</f>
        <v>5</v>
      </c>
      <c r="S11" s="12">
        <f>IF($B$24,Lomake!$D$6,Lomake!$D$6*1.852)</f>
        <v>5</v>
      </c>
      <c r="T11" s="3">
        <f>Lomake!$D$4</f>
        <v>185</v>
      </c>
      <c r="U11" s="249">
        <f t="shared" si="16"/>
        <v>-354.60957562482463</v>
      </c>
      <c r="V11" s="7">
        <f t="shared" si="17"/>
        <v>0.0025389710144809083</v>
      </c>
      <c r="W11" s="3">
        <f t="shared" si="18"/>
        <v>0.14547247973108782</v>
      </c>
      <c r="X11" s="15">
        <f t="shared" si="0"/>
        <v>359.7550481045557</v>
      </c>
      <c r="Y11" s="15">
        <f t="shared" si="1"/>
        <v>0</v>
      </c>
      <c r="Z11" s="3">
        <f t="shared" si="19"/>
        <v>359.7550481045557</v>
      </c>
      <c r="AA11" s="281">
        <f t="shared" si="20"/>
        <v>180.02151531614925</v>
      </c>
      <c r="AB11" s="284">
        <f ca="1" t="shared" si="21"/>
        <v>99</v>
      </c>
      <c r="AC11" s="285">
        <f>IF(Laskenta!$B$24,IF(ISNUMBER(Laskenta!AB11),IF(Laskenta!$B$24,Laskenta!AB11*3.2808399),""),"")</f>
        <v>324.80315010000004</v>
      </c>
      <c r="AD11" s="3"/>
      <c r="AE11" s="1"/>
      <c r="AF11" s="3"/>
      <c r="AG11" s="1"/>
      <c r="AH11" s="1"/>
      <c r="AI11" s="1"/>
      <c r="AJ11" s="1"/>
      <c r="AK11" s="10"/>
      <c r="AL11" s="1"/>
      <c r="AM11" s="10"/>
      <c r="AN11" s="10"/>
      <c r="AO11" s="10"/>
    </row>
    <row r="12" spans="1:29" ht="14.25">
      <c r="A12" s="12">
        <f>Lomake!A29</f>
        <v>8</v>
      </c>
      <c r="B12" s="31">
        <v>18</v>
      </c>
      <c r="C12" s="9" t="str">
        <f ca="1" t="shared" si="2"/>
        <v>64</v>
      </c>
      <c r="D12" s="12">
        <f ca="1" t="shared" si="3"/>
        <v>58.016666666666666</v>
      </c>
      <c r="E12" s="9" t="str">
        <f ca="1" t="shared" si="4"/>
        <v>24</v>
      </c>
      <c r="F12" s="14">
        <f ca="1" t="shared" si="5"/>
        <v>42.266666666666666</v>
      </c>
      <c r="G12" s="1">
        <f t="shared" si="6"/>
        <v>-144.73333333333358</v>
      </c>
      <c r="H12" s="12">
        <f t="shared" si="7"/>
        <v>-268.02469135802517</v>
      </c>
      <c r="I12" s="1">
        <f t="shared" si="8"/>
        <v>63.76083333333334</v>
      </c>
      <c r="J12" s="12">
        <f t="shared" si="9"/>
        <v>0.8187136527969175</v>
      </c>
      <c r="K12" s="1">
        <f t="shared" si="10"/>
        <v>-67.86666666666656</v>
      </c>
      <c r="L12" s="12">
        <f t="shared" si="11"/>
        <v>-55.56336656981738</v>
      </c>
      <c r="M12" s="12">
        <f t="shared" si="12"/>
        <v>273.7234423321038</v>
      </c>
      <c r="N12">
        <f t="shared" si="13"/>
        <v>78.28808682015125</v>
      </c>
      <c r="O12" s="8">
        <f t="shared" si="14"/>
        <v>191.71191317984875</v>
      </c>
      <c r="P12" s="1">
        <f t="shared" si="15"/>
        <v>191.71191317984875</v>
      </c>
      <c r="Q12" s="10">
        <f>IF(P12-Lomake!$D$7&gt;=360,P12-Lomake!$D$7-360,IF(P12-Lomake!$D$7&lt;0,P12-Lomake!$D$7+360,P12-Lomake!$D$7))</f>
        <v>184.71191317984875</v>
      </c>
      <c r="R12" s="7">
        <f>Lomake!$D$5</f>
        <v>5</v>
      </c>
      <c r="S12" s="12">
        <f>IF($B$24,Lomake!$D$6,Lomake!$D$6*1.852)</f>
        <v>5</v>
      </c>
      <c r="T12" s="3">
        <f>Lomake!$D$4</f>
        <v>185</v>
      </c>
      <c r="U12" s="249">
        <f t="shared" si="16"/>
        <v>-179.71191317984875</v>
      </c>
      <c r="V12" s="7">
        <f t="shared" si="17"/>
        <v>-0.00013589303668017574</v>
      </c>
      <c r="W12" s="3">
        <f t="shared" si="18"/>
        <v>-0.007786097490954761</v>
      </c>
      <c r="X12" s="15">
        <f t="shared" si="0"/>
        <v>184.7041270823578</v>
      </c>
      <c r="Y12" s="15">
        <f t="shared" si="1"/>
        <v>0</v>
      </c>
      <c r="Z12" s="3">
        <f t="shared" si="19"/>
        <v>184.7041270823578</v>
      </c>
      <c r="AA12" s="281">
        <f t="shared" si="20"/>
        <v>189.9999350883858</v>
      </c>
      <c r="AB12" s="284">
        <f ca="1" t="shared" si="21"/>
        <v>2</v>
      </c>
      <c r="AC12" s="285">
        <f>IF(Laskenta!$B$24,IF(ISNUMBER(Laskenta!AB12),IF(Laskenta!$B$24,Laskenta!AB12*3.2808399),""),"")</f>
        <v>6.5616798</v>
      </c>
    </row>
    <row r="13" spans="1:41" ht="14.25">
      <c r="A13" s="12">
        <f>Lomake!A31</f>
        <v>9</v>
      </c>
      <c r="B13" s="31">
        <v>7</v>
      </c>
      <c r="C13" s="9" t="str">
        <f ca="1" t="shared" si="2"/>
        <v>62</v>
      </c>
      <c r="D13" s="12">
        <f ca="1" t="shared" si="3"/>
        <v>33.28333333333333</v>
      </c>
      <c r="E13" s="9" t="str">
        <f ca="1" t="shared" si="4"/>
        <v>23</v>
      </c>
      <c r="F13" s="14">
        <f ca="1" t="shared" si="5"/>
        <v>34.4</v>
      </c>
      <c r="G13" s="1">
        <f t="shared" si="6"/>
        <v>-105.16666666666652</v>
      </c>
      <c r="H13" s="12">
        <f t="shared" si="7"/>
        <v>-194.7530864197528</v>
      </c>
      <c r="I13" s="1">
        <f t="shared" si="8"/>
        <v>61.67833333333333</v>
      </c>
      <c r="J13" s="12">
        <f t="shared" si="9"/>
        <v>0.8785303648562868</v>
      </c>
      <c r="K13" s="1">
        <f t="shared" si="10"/>
        <v>4.3333333333332575</v>
      </c>
      <c r="L13" s="12">
        <f t="shared" si="11"/>
        <v>3.806964914377176</v>
      </c>
      <c r="M13" s="12">
        <f t="shared" si="12"/>
        <v>194.7902914723396</v>
      </c>
      <c r="N13">
        <f t="shared" si="13"/>
        <v>88.88014485236341</v>
      </c>
      <c r="O13" s="8">
        <f t="shared" si="14"/>
        <v>178.8801448523634</v>
      </c>
      <c r="P13" s="1">
        <f t="shared" si="15"/>
        <v>178.8801448523634</v>
      </c>
      <c r="Q13" s="10">
        <f>IF(P13-Lomake!$D$7&gt;=360,P13-Lomake!$D$7-360,IF(P13-Lomake!$D$7&lt;0,P13-Lomake!$D$7+360,P13-Lomake!$D$7))</f>
        <v>171.8801448523634</v>
      </c>
      <c r="R13" s="7">
        <f>Lomake!$D$5</f>
        <v>5</v>
      </c>
      <c r="S13" s="12">
        <f>IF($B$24,Lomake!$D$6,Lomake!$D$6*1.852)</f>
        <v>5</v>
      </c>
      <c r="T13" s="3">
        <f>Lomake!$D$4</f>
        <v>185</v>
      </c>
      <c r="U13" s="249">
        <f t="shared" si="16"/>
        <v>-166.8801448523634</v>
      </c>
      <c r="V13" s="7">
        <f t="shared" si="17"/>
        <v>-0.0061348327895215556</v>
      </c>
      <c r="W13" s="3">
        <f t="shared" si="18"/>
        <v>-0.3515022317480552</v>
      </c>
      <c r="X13" s="15">
        <f t="shared" si="0"/>
        <v>171.52864262061536</v>
      </c>
      <c r="Y13" s="15">
        <f t="shared" si="1"/>
        <v>0</v>
      </c>
      <c r="Z13" s="3">
        <f t="shared" si="19"/>
        <v>171.52864262061536</v>
      </c>
      <c r="AA13" s="281">
        <f t="shared" si="20"/>
        <v>189.8660054490894</v>
      </c>
      <c r="AB13" s="284">
        <f ca="1" t="shared" si="21"/>
        <v>124</v>
      </c>
      <c r="AC13" s="285">
        <f>IF(Laskenta!$B$24,IF(ISNUMBER(Laskenta!AB13),IF(Laskenta!$B$24,Laskenta!AB13*3.2808399),""),"")</f>
        <v>406.8241476</v>
      </c>
      <c r="AD13" s="3"/>
      <c r="AE13" s="1"/>
      <c r="AF13" s="3"/>
      <c r="AG13" s="1"/>
      <c r="AH13" s="1"/>
      <c r="AI13" s="1"/>
      <c r="AJ13" s="1"/>
      <c r="AK13" s="10"/>
      <c r="AL13" s="1"/>
      <c r="AM13" s="10"/>
      <c r="AN13" s="10"/>
      <c r="AO13" s="10"/>
    </row>
    <row r="14" spans="1:29" ht="14.25">
      <c r="A14" s="12">
        <f>Lomake!A33</f>
        <v>10</v>
      </c>
      <c r="B14" s="31">
        <v>11</v>
      </c>
      <c r="C14" s="9" t="str">
        <f ca="1" t="shared" si="2"/>
        <v>60</v>
      </c>
      <c r="D14" s="12">
        <f ca="1" t="shared" si="3"/>
        <v>48.11666666666667</v>
      </c>
      <c r="E14" s="9" t="str">
        <f ca="1" t="shared" si="4"/>
        <v>23</v>
      </c>
      <c r="F14" s="14">
        <f ca="1" t="shared" si="5"/>
        <v>38.733333333333334</v>
      </c>
      <c r="G14" s="1">
        <f t="shared" si="6"/>
        <v>408.0999999999999</v>
      </c>
      <c r="H14" s="12">
        <f t="shared" si="7"/>
        <v>755.7407407407405</v>
      </c>
      <c r="I14" s="1">
        <f t="shared" si="8"/>
        <v>64.20277777777778</v>
      </c>
      <c r="J14" s="12">
        <f t="shared" si="9"/>
        <v>0.8058776554917633</v>
      </c>
      <c r="K14" s="1">
        <f t="shared" si="10"/>
        <v>19.566666666666606</v>
      </c>
      <c r="L14" s="12">
        <f t="shared" si="11"/>
        <v>15.768339459122119</v>
      </c>
      <c r="M14" s="12">
        <f t="shared" si="12"/>
        <v>755.9052240490611</v>
      </c>
      <c r="N14">
        <f t="shared" si="13"/>
        <v>88.8047114795005</v>
      </c>
      <c r="O14" s="8">
        <f t="shared" si="14"/>
        <v>1.1952885204995027</v>
      </c>
      <c r="P14" s="1">
        <f t="shared" si="15"/>
        <v>1.1952885204995027</v>
      </c>
      <c r="Q14" s="10">
        <f>IF(P14-Lomake!$D$7&gt;=360,P14-Lomake!$D$7-360,IF(P14-Lomake!$D$7&lt;0,P14-Lomake!$D$7+360,P14-Lomake!$D$7))</f>
        <v>354.1952885204995</v>
      </c>
      <c r="R14" s="7">
        <f>Lomake!$D$5</f>
        <v>5</v>
      </c>
      <c r="S14" s="12">
        <f>IF($B$24,Lomake!$D$6,Lomake!$D$6*1.852)</f>
        <v>5</v>
      </c>
      <c r="T14" s="3">
        <f>Lomake!$D$4</f>
        <v>185</v>
      </c>
      <c r="U14" s="249">
        <f t="shared" si="16"/>
        <v>-349.1952885204995</v>
      </c>
      <c r="V14" s="7">
        <f t="shared" si="17"/>
        <v>0.005066542925620462</v>
      </c>
      <c r="W14" s="3">
        <f t="shared" si="18"/>
        <v>0.2902927683312691</v>
      </c>
      <c r="X14" s="15">
        <f t="shared" si="0"/>
        <v>354.48558128883076</v>
      </c>
      <c r="Y14" s="15">
        <f t="shared" si="1"/>
        <v>0</v>
      </c>
      <c r="Z14" s="3">
        <f t="shared" si="19"/>
        <v>354.48558128883076</v>
      </c>
      <c r="AA14" s="281">
        <f t="shared" si="20"/>
        <v>180.08626632853606</v>
      </c>
      <c r="AB14" s="284">
        <f ca="1" t="shared" si="21"/>
        <v>99</v>
      </c>
      <c r="AC14" s="285">
        <f>IF(Laskenta!$B$24,IF(ISNUMBER(Laskenta!AB14),IF(Laskenta!$B$24,Laskenta!AB14*3.2808399),""),"")</f>
        <v>324.80315010000004</v>
      </c>
    </row>
    <row r="15" spans="1:41" ht="14.25">
      <c r="A15" s="12">
        <f>Lomake!A35</f>
        <v>11</v>
      </c>
      <c r="B15" s="31">
        <v>5</v>
      </c>
      <c r="C15" s="9" t="str">
        <f ca="1" t="shared" si="2"/>
        <v>67</v>
      </c>
      <c r="D15" s="12">
        <f ca="1" t="shared" si="3"/>
        <v>36.21666666666667</v>
      </c>
      <c r="E15" s="9" t="str">
        <f ca="1" t="shared" si="4"/>
        <v>23</v>
      </c>
      <c r="F15" s="14">
        <f ca="1" t="shared" si="5"/>
        <v>58.3</v>
      </c>
      <c r="G15" s="1">
        <f t="shared" si="6"/>
        <v>-437.1833333333334</v>
      </c>
      <c r="H15" s="12">
        <f t="shared" si="7"/>
        <v>-809.5987654320988</v>
      </c>
      <c r="I15" s="1">
        <f t="shared" si="8"/>
        <v>63.96041666666667</v>
      </c>
      <c r="J15" s="12">
        <f t="shared" si="9"/>
        <v>0.8129228669531186</v>
      </c>
      <c r="K15" s="1">
        <f t="shared" si="10"/>
        <v>59.5</v>
      </c>
      <c r="L15" s="12">
        <f t="shared" si="11"/>
        <v>48.36891058371055</v>
      </c>
      <c r="M15" s="12">
        <f t="shared" si="12"/>
        <v>811.042361717459</v>
      </c>
      <c r="N15">
        <f t="shared" si="13"/>
        <v>86.58096790463541</v>
      </c>
      <c r="O15" s="8">
        <f t="shared" si="14"/>
        <v>176.58096790463543</v>
      </c>
      <c r="P15" s="1">
        <f t="shared" si="15"/>
        <v>176.58096790463543</v>
      </c>
      <c r="Q15" s="10">
        <f>IF(P15-Lomake!$D$7&gt;=360,P15-Lomake!$D$7-360,IF(P15-Lomake!$D$7&lt;0,P15-Lomake!$D$7+360,P15-Lomake!$D$7))</f>
        <v>169.58096790463543</v>
      </c>
      <c r="R15" s="7">
        <f>Lomake!$D$5</f>
        <v>5</v>
      </c>
      <c r="S15" s="12">
        <f>IF($B$24,Lomake!$D$6,Lomake!$D$6*1.852)</f>
        <v>5</v>
      </c>
      <c r="T15" s="3">
        <f>Lomake!$D$4</f>
        <v>185</v>
      </c>
      <c r="U15" s="249">
        <f t="shared" si="16"/>
        <v>-164.58096790463543</v>
      </c>
      <c r="V15" s="7">
        <f t="shared" si="17"/>
        <v>-0.0071858472710949394</v>
      </c>
      <c r="W15" s="3">
        <f t="shared" si="18"/>
        <v>-0.411722264220504</v>
      </c>
      <c r="X15" s="15">
        <f t="shared" si="0"/>
        <v>169.1692456404149</v>
      </c>
      <c r="Y15" s="15">
        <f t="shared" si="1"/>
        <v>0</v>
      </c>
      <c r="Z15" s="3">
        <f t="shared" si="19"/>
        <v>169.1692456404149</v>
      </c>
      <c r="AA15" s="281">
        <f t="shared" si="20"/>
        <v>189.81525927398354</v>
      </c>
      <c r="AB15" s="284">
        <f ca="1" t="shared" si="21"/>
        <v>225</v>
      </c>
      <c r="AC15" s="285">
        <f>IF(Laskenta!$B$24,IF(ISNUMBER(Laskenta!AB15),IF(Laskenta!$B$24,Laskenta!AB15*3.2808399),""),"")</f>
        <v>738.1889775000001</v>
      </c>
      <c r="AD15" s="3"/>
      <c r="AE15" s="1"/>
      <c r="AF15" s="3"/>
      <c r="AG15" s="1"/>
      <c r="AH15" s="1"/>
      <c r="AI15" s="1"/>
      <c r="AJ15" s="1"/>
      <c r="AK15" s="10"/>
      <c r="AL15" s="1"/>
      <c r="AM15" s="10"/>
      <c r="AN15" s="10"/>
      <c r="AO15" s="10"/>
    </row>
    <row r="16" spans="1:29" ht="14.25">
      <c r="A16" s="12">
        <f>Lomake!A37</f>
        <v>12</v>
      </c>
      <c r="B16" s="31">
        <v>17</v>
      </c>
      <c r="C16" s="9" t="str">
        <f ca="1" t="shared" si="2"/>
        <v>60</v>
      </c>
      <c r="D16" s="12">
        <f ca="1" t="shared" si="3"/>
        <v>19.033333333333335</v>
      </c>
      <c r="E16" s="9" t="str">
        <f ca="1" t="shared" si="4"/>
        <v>24</v>
      </c>
      <c r="F16" s="14">
        <f ca="1" t="shared" si="5"/>
        <v>57.8</v>
      </c>
      <c r="G16" s="1">
        <f t="shared" si="6"/>
        <v>82.38333333333321</v>
      </c>
      <c r="H16" s="12">
        <f t="shared" si="7"/>
        <v>152.5617283950615</v>
      </c>
      <c r="I16" s="1">
        <f t="shared" si="8"/>
        <v>61.00375</v>
      </c>
      <c r="J16" s="12">
        <f t="shared" si="9"/>
        <v>0.8976617034575635</v>
      </c>
      <c r="K16" s="1">
        <f t="shared" si="10"/>
        <v>-113.34999999999991</v>
      </c>
      <c r="L16" s="12">
        <f t="shared" si="11"/>
        <v>-101.74995408691474</v>
      </c>
      <c r="M16" s="12">
        <f t="shared" si="12"/>
        <v>183.37975386497217</v>
      </c>
      <c r="N16">
        <f t="shared" si="13"/>
        <v>56.29897865797314</v>
      </c>
      <c r="O16" s="8">
        <f t="shared" si="14"/>
        <v>326.2989786579731</v>
      </c>
      <c r="P16" s="1">
        <f t="shared" si="15"/>
        <v>326.2989786579731</v>
      </c>
      <c r="Q16" s="10">
        <f>IF(P16-Lomake!$D$7&gt;=360,P16-Lomake!$D$7-360,IF(P16-Lomake!$D$7&lt;0,P16-Lomake!$D$7+360,P16-Lomake!$D$7))</f>
        <v>319.2989786579731</v>
      </c>
      <c r="R16" s="7">
        <f>Lomake!$D$5</f>
        <v>5</v>
      </c>
      <c r="S16" s="12">
        <f>IF($B$24,Lomake!$D$6,Lomake!$D$6*1.852)</f>
        <v>5</v>
      </c>
      <c r="T16" s="3">
        <f>Lomake!$D$4</f>
        <v>185</v>
      </c>
      <c r="U16" s="249">
        <f t="shared" si="16"/>
        <v>-314.2989786579731</v>
      </c>
      <c r="V16" s="7">
        <f t="shared" si="17"/>
        <v>0.01934338333481249</v>
      </c>
      <c r="W16" s="3">
        <f t="shared" si="18"/>
        <v>1.1083633526528882</v>
      </c>
      <c r="X16" s="15">
        <f t="shared" si="0"/>
        <v>320.407342010626</v>
      </c>
      <c r="Y16" s="15">
        <f t="shared" si="1"/>
        <v>0</v>
      </c>
      <c r="Z16" s="3">
        <f t="shared" si="19"/>
        <v>320.407342010626</v>
      </c>
      <c r="AA16" s="281">
        <f t="shared" si="20"/>
        <v>181.47337372489892</v>
      </c>
      <c r="AB16" s="284">
        <f ca="1" t="shared" si="21"/>
        <v>55</v>
      </c>
      <c r="AC16" s="285">
        <f>IF(Laskenta!$B$24,IF(ISNUMBER(Laskenta!AB16),IF(Laskenta!$B$24,Laskenta!AB16*3.2808399),""),"")</f>
        <v>180.44619450000002</v>
      </c>
    </row>
    <row r="17" spans="1:41" ht="14.25">
      <c r="A17" s="12">
        <f>Lomake!A39</f>
        <v>13</v>
      </c>
      <c r="B17" s="31">
        <v>19</v>
      </c>
      <c r="C17" s="9" t="str">
        <f ca="1" t="shared" si="2"/>
        <v>61</v>
      </c>
      <c r="D17" s="12">
        <f ca="1" t="shared" si="3"/>
        <v>41.416666666666664</v>
      </c>
      <c r="E17" s="9" t="str">
        <f ca="1" t="shared" si="4"/>
        <v>23</v>
      </c>
      <c r="F17" s="14">
        <f ca="1" t="shared" si="5"/>
        <v>4.45</v>
      </c>
      <c r="G17" s="1" t="b">
        <f>Laskenta!S22=IF(Laskenta!$B$21,IF(ISNUMBER(Laskenta!AA6),IF(Laskenta!$B$23,Laskenta!AA6,Laskenta!AA6),""),"")</f>
        <v>0</v>
      </c>
      <c r="H17" s="12">
        <f t="shared" si="7"/>
        <v>0</v>
      </c>
      <c r="I17" s="1">
        <f t="shared" si="8"/>
        <v>61.246111111111105</v>
      </c>
      <c r="J17" s="12">
        <f t="shared" si="9"/>
        <v>0.8908024705877602</v>
      </c>
      <c r="K17" s="1">
        <f t="shared" si="10"/>
        <v>34.2833333333333</v>
      </c>
      <c r="L17" s="12">
        <f t="shared" si="11"/>
        <v>30.539678033317017</v>
      </c>
      <c r="M17" s="12">
        <f t="shared" si="12"/>
        <v>30.539678033317017</v>
      </c>
      <c r="N17">
        <f t="shared" si="13"/>
        <v>0</v>
      </c>
      <c r="O17" s="8">
        <f t="shared" si="14"/>
        <v>90</v>
      </c>
      <c r="P17" s="1">
        <f t="shared" si="15"/>
        <v>90</v>
      </c>
      <c r="Q17" s="10">
        <f>IF(P17-Lomake!$D$7&gt;=360,P17-Lomake!$D$7-360,IF(P17-Lomake!$D$7&lt;0,P17-Lomake!$D$7+360,P17-Lomake!$D$7))</f>
        <v>83</v>
      </c>
      <c r="R17" s="7">
        <f>Lomake!$D$5</f>
        <v>5</v>
      </c>
      <c r="S17" s="12">
        <f>IF($B$24,Lomake!$D$6,Lomake!$D$6*1.852)</f>
        <v>5</v>
      </c>
      <c r="T17" s="3">
        <f>Lomake!$D$4</f>
        <v>185</v>
      </c>
      <c r="U17" s="249">
        <f t="shared" si="16"/>
        <v>-78</v>
      </c>
      <c r="V17" s="7">
        <f t="shared" si="17"/>
        <v>-0.026436421641454204</v>
      </c>
      <c r="W17" s="3">
        <f t="shared" si="18"/>
        <v>-1.5148718738210512</v>
      </c>
      <c r="X17" s="15">
        <f t="shared" si="0"/>
        <v>81.48512812617895</v>
      </c>
      <c r="Y17" s="15">
        <f t="shared" si="1"/>
        <v>0</v>
      </c>
      <c r="Z17" s="3">
        <f t="shared" si="19"/>
        <v>81.48512812617895</v>
      </c>
      <c r="AA17" s="281">
        <f t="shared" si="20"/>
        <v>183.89578344080016</v>
      </c>
      <c r="AB17" s="284">
        <f ca="1" t="shared" si="21"/>
        <v>137</v>
      </c>
      <c r="AC17" s="285">
        <f>IF(Laskenta!$B$24,IF(ISNUMBER(Laskenta!AB17),IF(Laskenta!$B$24,Laskenta!AB17*3.2808399),""),"")</f>
        <v>449.47506630000004</v>
      </c>
      <c r="AD17" s="3"/>
      <c r="AE17" s="1"/>
      <c r="AF17" s="3"/>
      <c r="AG17" s="1"/>
      <c r="AH17" s="1"/>
      <c r="AI17" s="1"/>
      <c r="AJ17" s="1"/>
      <c r="AK17" s="10"/>
      <c r="AL17" s="1"/>
      <c r="AM17" s="10"/>
      <c r="AN17" s="10"/>
      <c r="AO17" s="10"/>
    </row>
    <row r="18" spans="1:29" ht="14.25">
      <c r="A18" s="12">
        <f>Lomake!A41</f>
        <v>14</v>
      </c>
      <c r="B18" s="31">
        <v>11</v>
      </c>
      <c r="C18" s="9" t="str">
        <f ca="1" t="shared" si="2"/>
        <v>60</v>
      </c>
      <c r="D18" s="12">
        <f ca="1" t="shared" si="3"/>
        <v>48.11666666666667</v>
      </c>
      <c r="E18" s="9" t="str">
        <f ca="1" t="shared" si="4"/>
        <v>23</v>
      </c>
      <c r="F18" s="14">
        <f ca="1" t="shared" si="5"/>
        <v>38.733333333333334</v>
      </c>
      <c r="G18" s="1">
        <f t="shared" si="6"/>
        <v>-39.25</v>
      </c>
      <c r="H18" s="12">
        <f t="shared" si="7"/>
        <v>-72.68518518518519</v>
      </c>
      <c r="I18" s="1">
        <f t="shared" si="8"/>
        <v>60.47486111111111</v>
      </c>
      <c r="J18" s="12">
        <f t="shared" si="9"/>
        <v>0.9125742242242384</v>
      </c>
      <c r="K18" s="1">
        <f t="shared" si="10"/>
        <v>76.7166666666667</v>
      </c>
      <c r="L18" s="12">
        <f t="shared" si="11"/>
        <v>70.00965256840286</v>
      </c>
      <c r="M18" s="12">
        <f t="shared" si="12"/>
        <v>100.91822232953344</v>
      </c>
      <c r="N18">
        <f t="shared" si="13"/>
        <v>46.07417176804233</v>
      </c>
      <c r="O18" s="8">
        <f t="shared" si="14"/>
        <v>136.07417176804233</v>
      </c>
      <c r="P18" s="1">
        <f t="shared" si="15"/>
        <v>136.07417176804233</v>
      </c>
      <c r="Q18" s="10">
        <f>IF(P18-Lomake!$D$7&gt;=360,P18-Lomake!$D$7-360,IF(P18-Lomake!$D$7&lt;0,P18-Lomake!$D$7+360,P18-Lomake!$D$7))</f>
        <v>129.07417176804233</v>
      </c>
      <c r="R18" s="7">
        <f>Lomake!$D$5</f>
        <v>5</v>
      </c>
      <c r="S18" s="12">
        <f>IF($B$24,Lomake!$D$6,Lomake!$D$6*1.852)</f>
        <v>5</v>
      </c>
      <c r="T18" s="3">
        <f>Lomake!$D$4</f>
        <v>185</v>
      </c>
      <c r="U18" s="249">
        <f t="shared" si="16"/>
        <v>-124.07417176804233</v>
      </c>
      <c r="V18" s="7">
        <f t="shared" si="17"/>
        <v>-0.02238683728743274</v>
      </c>
      <c r="W18" s="3">
        <f t="shared" si="18"/>
        <v>-1.282778456884775</v>
      </c>
      <c r="X18" s="15">
        <f t="shared" si="0"/>
        <v>127.79139331115756</v>
      </c>
      <c r="Y18" s="15">
        <f t="shared" si="1"/>
        <v>0</v>
      </c>
      <c r="Z18" s="3">
        <f t="shared" si="19"/>
        <v>127.79139331115756</v>
      </c>
      <c r="AA18" s="281">
        <f t="shared" si="20"/>
        <v>187.75496421149367</v>
      </c>
      <c r="AB18" s="284">
        <f ca="1" t="shared" si="21"/>
        <v>99</v>
      </c>
      <c r="AC18" s="285">
        <f>IF(Laskenta!$B$24,IF(ISNUMBER(Laskenta!AB18),IF(Laskenta!$B$24,Laskenta!AB18*3.2808399),""),"")</f>
        <v>324.80315010000004</v>
      </c>
    </row>
    <row r="19" spans="1:41" ht="12.75">
      <c r="A19" s="20">
        <f>Lomake!A43</f>
        <v>15</v>
      </c>
      <c r="B19" s="32">
        <v>14</v>
      </c>
      <c r="C19" s="17" t="str">
        <f ca="1" t="shared" si="2"/>
        <v>60</v>
      </c>
      <c r="D19" s="20">
        <f ca="1" t="shared" si="3"/>
        <v>8.866666666666667</v>
      </c>
      <c r="E19" s="17" t="str">
        <f ca="1" t="shared" si="4"/>
        <v>24</v>
      </c>
      <c r="F19" s="22">
        <f ca="1" t="shared" si="5"/>
        <v>55.45</v>
      </c>
      <c r="G19" s="26"/>
      <c r="H19" s="26"/>
      <c r="I19" s="26"/>
      <c r="J19" s="26"/>
      <c r="K19" s="26"/>
      <c r="L19" s="26"/>
      <c r="M19" s="26"/>
      <c r="N19" s="27"/>
      <c r="O19" s="27"/>
      <c r="P19" s="26"/>
      <c r="Q19" s="26"/>
      <c r="R19" s="26"/>
      <c r="S19" s="26"/>
      <c r="T19" s="26"/>
      <c r="U19" s="26"/>
      <c r="V19" s="26"/>
      <c r="W19" s="28"/>
      <c r="X19" s="28"/>
      <c r="Y19" s="28"/>
      <c r="Z19" s="28"/>
      <c r="AA19" s="2"/>
      <c r="AB19" s="2"/>
      <c r="AC19" s="2"/>
      <c r="AD19" s="3"/>
      <c r="AE19" s="1"/>
      <c r="AF19" s="3"/>
      <c r="AG19" s="1"/>
      <c r="AH19" s="1"/>
      <c r="AI19" s="1"/>
      <c r="AJ19" s="1"/>
      <c r="AK19" s="10"/>
      <c r="AL19" s="1"/>
      <c r="AM19" s="10"/>
      <c r="AN19" s="10"/>
      <c r="AO19" s="10"/>
    </row>
    <row r="20" spans="1:6" ht="12.75">
      <c r="A20" s="6" t="s">
        <v>358</v>
      </c>
      <c r="B20" s="90" t="b">
        <v>1</v>
      </c>
      <c r="C20" s="6"/>
      <c r="D20" s="6"/>
      <c r="E20" s="6"/>
      <c r="F20" s="6"/>
    </row>
    <row r="21" spans="1:41" ht="12.75">
      <c r="A21" s="3" t="s">
        <v>356</v>
      </c>
      <c r="B21" s="91" t="b">
        <v>1</v>
      </c>
      <c r="C21" s="1"/>
      <c r="D21" s="1"/>
      <c r="E21" s="3"/>
      <c r="F21" s="1"/>
      <c r="G21" s="3"/>
      <c r="H21" s="1"/>
      <c r="I21" s="1"/>
      <c r="J21" s="1"/>
      <c r="K21" s="1"/>
      <c r="L21" s="10"/>
      <c r="M21" s="1"/>
      <c r="N21" s="10"/>
      <c r="O21" s="10"/>
      <c r="P21" s="10"/>
      <c r="Q21" s="10"/>
      <c r="R21" s="10"/>
      <c r="S21" s="10"/>
      <c r="T21" s="10"/>
      <c r="U21" s="10"/>
      <c r="V21" s="10"/>
      <c r="AA21" s="1"/>
      <c r="AB21" s="1"/>
      <c r="AC21" s="1"/>
      <c r="AD21" s="3"/>
      <c r="AE21" s="1"/>
      <c r="AF21" s="3"/>
      <c r="AG21" s="1"/>
      <c r="AH21" s="1"/>
      <c r="AI21" s="1"/>
      <c r="AJ21" s="1"/>
      <c r="AK21" s="10"/>
      <c r="AL21" s="1"/>
      <c r="AM21" s="10"/>
      <c r="AN21" s="10"/>
      <c r="AO21" s="10"/>
    </row>
    <row r="22" spans="1:19" ht="12.75">
      <c r="A22" s="1" t="s">
        <v>357</v>
      </c>
      <c r="B22" s="92">
        <v>0</v>
      </c>
      <c r="S22">
        <f>IF(S26,IF(ISNUMBER(Laskenta!AA6),IF(Laskenta!$B$23,Laskenta!AA6,Laskenta!AA6),""),"")</f>
      </c>
    </row>
    <row r="23" spans="1:41" ht="12.75">
      <c r="A23" s="3" t="s">
        <v>355</v>
      </c>
      <c r="B23" s="91">
        <v>0</v>
      </c>
      <c r="C23" s="1"/>
      <c r="D23" s="1"/>
      <c r="E23" s="3"/>
      <c r="F23" s="1"/>
      <c r="G23" s="3"/>
      <c r="I23" s="1"/>
      <c r="J23" s="1"/>
      <c r="K23" s="1"/>
      <c r="L23" s="10"/>
      <c r="M23" s="1"/>
      <c r="N23" s="10"/>
      <c r="O23" s="10"/>
      <c r="P23" s="10"/>
      <c r="Q23" s="10"/>
      <c r="R23" s="10"/>
      <c r="S23" s="10"/>
      <c r="T23" s="10"/>
      <c r="U23" s="10"/>
      <c r="V23" s="10"/>
      <c r="AA23" s="1"/>
      <c r="AB23" s="1"/>
      <c r="AC23" s="1"/>
      <c r="AD23" s="3"/>
      <c r="AE23" s="1"/>
      <c r="AF23" s="3"/>
      <c r="AG23" s="1"/>
      <c r="AH23" s="1"/>
      <c r="AI23" s="1"/>
      <c r="AJ23" s="1"/>
      <c r="AK23" s="10"/>
      <c r="AL23" s="1"/>
      <c r="AM23" s="10"/>
      <c r="AN23" s="10"/>
      <c r="AO23" s="10"/>
    </row>
    <row r="24" spans="1:2" ht="12.75">
      <c r="A24" s="1" t="s">
        <v>354</v>
      </c>
      <c r="B24" s="92" t="b">
        <v>1</v>
      </c>
    </row>
    <row r="25" spans="1:30" ht="12.75">
      <c r="A25" s="3" t="s">
        <v>547</v>
      </c>
      <c r="B25" s="1" t="b">
        <v>1</v>
      </c>
      <c r="C25" s="1"/>
      <c r="D25" s="1"/>
      <c r="E25" s="3"/>
      <c r="F25" s="1"/>
      <c r="I25" s="1"/>
      <c r="U25" s="10"/>
      <c r="V25" s="10"/>
      <c r="Z25" s="10"/>
      <c r="AA25" s="10"/>
      <c r="AC25" s="10"/>
      <c r="AD25" s="10"/>
    </row>
    <row r="26" spans="1:2" ht="12.75">
      <c r="A26" s="3" t="s">
        <v>675</v>
      </c>
      <c r="B26" s="1" t="str">
        <f>IF(B23," m"," ft")</f>
        <v> ft</v>
      </c>
    </row>
    <row r="27" spans="1:31" ht="12.75">
      <c r="A27" s="3"/>
      <c r="B27" s="1" t="str">
        <f>IF(B23,"km","NM")</f>
        <v>NM</v>
      </c>
      <c r="C27" s="1"/>
      <c r="D27" s="1"/>
      <c r="E27" s="3"/>
      <c r="F27" s="1"/>
      <c r="G27" s="406" t="s">
        <v>488</v>
      </c>
      <c r="H27" s="406"/>
      <c r="I27" s="406"/>
      <c r="J27" s="406"/>
      <c r="K27" s="406"/>
      <c r="L27" s="406"/>
      <c r="M27" s="406"/>
      <c r="N27" s="406"/>
      <c r="U27" s="10"/>
      <c r="V27" s="10"/>
      <c r="Z27" s="10"/>
      <c r="AA27" s="10"/>
      <c r="AB27" s="10"/>
      <c r="AC27" s="10"/>
      <c r="AD27" s="10"/>
      <c r="AE27" s="10"/>
    </row>
    <row r="28" spans="2:14" ht="12.75">
      <c r="B28" s="1" t="str">
        <f>IF(B23,"km/h","knots")</f>
        <v>knots</v>
      </c>
      <c r="G28" s="114">
        <f ca="1">INDIRECT(CONCATENATE("Konedata!",ADDRESS(Konedata!A3+4,2)))</f>
        <v>2</v>
      </c>
      <c r="H28" s="114">
        <f ca="1">INDIRECT(CONCATENATE("Konedata!",ADDRESS(Konedata!A3+4,3)))</f>
        <v>2</v>
      </c>
      <c r="I28" s="114">
        <f ca="1">INDIRECT(CONCATENATE("Konedata!",ADDRESS(Konedata!A3+4,4)))</f>
        <v>-1</v>
      </c>
      <c r="J28" s="114">
        <f ca="1">INDIRECT(CONCATENATE("Konedata!",ADDRESS(Konedata!A3+4,5)))</f>
        <v>-1</v>
      </c>
      <c r="K28" s="114">
        <f ca="1">INDIRECT(CONCATENATE("Konedata!",ADDRESS(Konedata!A3+4,6)))</f>
        <v>-2</v>
      </c>
      <c r="L28" s="114">
        <f ca="1">INDIRECT(CONCATENATE("Konedata!",ADDRESS(Konedata!A3+4,7)))</f>
        <v>0</v>
      </c>
      <c r="M28" s="114">
        <f ca="1">INDIRECT(CONCATENATE("Konedata!",ADDRESS(Konedata!A3+4,8)))</f>
        <v>0</v>
      </c>
      <c r="N28" s="114">
        <f ca="1">INDIRECT(CONCATENATE("Konedata!",ADDRESS(Konedata!A3+4,9)))</f>
        <v>0</v>
      </c>
    </row>
    <row r="29" spans="1:31" ht="12.75">
      <c r="A29" s="3"/>
      <c r="B29" s="1"/>
      <c r="C29" s="1"/>
      <c r="D29" s="1"/>
      <c r="E29" s="3"/>
      <c r="F29" s="1"/>
      <c r="G29" s="3"/>
      <c r="H29" s="1"/>
      <c r="I29" s="1"/>
      <c r="U29" s="10"/>
      <c r="V29" s="10"/>
      <c r="Z29" s="10"/>
      <c r="AA29" s="10"/>
      <c r="AB29" s="10"/>
      <c r="AC29" s="10"/>
      <c r="AD29" s="10"/>
      <c r="AE29" s="10"/>
    </row>
  </sheetData>
  <sheetProtection/>
  <mergeCells count="6">
    <mergeCell ref="G27:N27"/>
    <mergeCell ref="R2:S2"/>
    <mergeCell ref="AH3:AI3"/>
    <mergeCell ref="C3:F3"/>
    <mergeCell ref="G3:H3"/>
    <mergeCell ref="K3:L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P246"/>
  <sheetViews>
    <sheetView zoomScalePageLayoutView="0" workbookViewId="0" topLeftCell="A1">
      <selection activeCell="D10" sqref="D10"/>
    </sheetView>
  </sheetViews>
  <sheetFormatPr defaultColWidth="9.140625" defaultRowHeight="12.75"/>
  <cols>
    <col min="3" max="3" width="12.140625" style="0" customWidth="1"/>
    <col min="6" max="6" width="10.421875" style="0" customWidth="1"/>
    <col min="8" max="8" width="9.140625" style="127" customWidth="1"/>
  </cols>
  <sheetData>
    <row r="1" spans="1:8" ht="12.75">
      <c r="A1" t="s">
        <v>415</v>
      </c>
      <c r="B1" t="s">
        <v>416</v>
      </c>
      <c r="C1" t="s">
        <v>416</v>
      </c>
      <c r="D1">
        <v>0</v>
      </c>
      <c r="E1">
        <v>0</v>
      </c>
      <c r="F1">
        <v>0</v>
      </c>
      <c r="G1">
        <v>0</v>
      </c>
      <c r="H1" s="127">
        <v>0</v>
      </c>
    </row>
    <row r="2" spans="1:16" ht="12.75">
      <c r="A2" t="s">
        <v>417</v>
      </c>
      <c r="B2" t="s">
        <v>418</v>
      </c>
      <c r="C2" t="e">
        <f>LEFT(Tietokanta!#REF!,6)</f>
        <v>#REF!</v>
      </c>
      <c r="D2" t="e">
        <f>LEFT(Tietokanta!#REF!,2)+RIGHT(Tietokanta!#REF!,4)/6000</f>
        <v>#REF!</v>
      </c>
      <c r="E2" t="e">
        <f>LEFT(Tietokanta!#REF!,2)+RIGHT(Tietokanta!#REF!,4)/6000</f>
        <v>#REF!</v>
      </c>
      <c r="F2" s="128">
        <v>38696</v>
      </c>
      <c r="G2" s="129">
        <v>0.763425925925926</v>
      </c>
      <c r="H2" s="127" t="e">
        <f>Tietokanta!#REF!</f>
        <v>#REF!</v>
      </c>
      <c r="J2" s="131"/>
      <c r="K2" s="223"/>
      <c r="L2" s="131"/>
      <c r="M2" s="131"/>
      <c r="N2" s="130"/>
      <c r="O2" s="131"/>
      <c r="P2" s="131"/>
    </row>
    <row r="3" spans="1:12" ht="12.75">
      <c r="A3" t="s">
        <v>417</v>
      </c>
      <c r="B3" t="s">
        <v>418</v>
      </c>
      <c r="C3" t="e">
        <f>LEFT(Tietokanta!#REF!,6)</f>
        <v>#REF!</v>
      </c>
      <c r="D3" t="e">
        <f>LEFT(Tietokanta!#REF!,2)+RIGHT(Tietokanta!#REF!,4)/6000</f>
        <v>#REF!</v>
      </c>
      <c r="E3" t="e">
        <f>LEFT(Tietokanta!#REF!,2)+RIGHT(Tietokanta!#REF!,4)/6000</f>
        <v>#REF!</v>
      </c>
      <c r="F3" s="128">
        <v>38696</v>
      </c>
      <c r="G3" s="129">
        <v>0.763425925925926</v>
      </c>
      <c r="H3" s="127" t="e">
        <f>Tietokanta!#REF!</f>
        <v>#REF!</v>
      </c>
      <c r="J3" s="131"/>
      <c r="L3" s="131"/>
    </row>
    <row r="4" spans="1:10" ht="12.75">
      <c r="A4" t="s">
        <v>417</v>
      </c>
      <c r="B4" t="s">
        <v>418</v>
      </c>
      <c r="C4" t="e">
        <f>LEFT(Tietokanta!#REF!,6)</f>
        <v>#REF!</v>
      </c>
      <c r="D4" t="e">
        <f>LEFT(Tietokanta!#REF!,2)+RIGHT(Tietokanta!#REF!,4)/6000</f>
        <v>#REF!</v>
      </c>
      <c r="E4" t="e">
        <f>LEFT(Tietokanta!#REF!,2)+RIGHT(Tietokanta!#REF!,4)/6000</f>
        <v>#REF!</v>
      </c>
      <c r="F4" s="128">
        <v>38696</v>
      </c>
      <c r="G4" s="129">
        <v>0.763425925925926</v>
      </c>
      <c r="H4" s="127" t="e">
        <f>Tietokanta!#REF!</f>
        <v>#REF!</v>
      </c>
      <c r="J4" s="131"/>
    </row>
    <row r="5" spans="1:10" ht="12.75">
      <c r="A5" t="s">
        <v>417</v>
      </c>
      <c r="B5" t="s">
        <v>418</v>
      </c>
      <c r="C5" t="str">
        <f>LEFT(Tietokanta!A4,6)</f>
        <v>HAAVI </v>
      </c>
      <c r="D5">
        <f>LEFT(Tietokanta!K4,2)+RIGHT(Tietokanta!K4,4)/6000</f>
        <v>61.989666666666665</v>
      </c>
      <c r="E5">
        <f>LEFT(Tietokanta!L4,2)+RIGHT(Tietokanta!L4,4)/6000</f>
        <v>25.205333333333332</v>
      </c>
      <c r="F5" s="128">
        <v>38696</v>
      </c>
      <c r="G5" s="129">
        <v>0.763425925925926</v>
      </c>
      <c r="H5" s="127" t="str">
        <f>Tietokanta!J4</f>
        <v>HALLI</v>
      </c>
      <c r="J5" s="131"/>
    </row>
    <row r="6" spans="1:10" ht="12.75">
      <c r="A6" t="s">
        <v>417</v>
      </c>
      <c r="B6" t="s">
        <v>418</v>
      </c>
      <c r="C6" t="str">
        <f>LEFT(Tietokanta!A5,6)</f>
        <v>HAMPI </v>
      </c>
      <c r="D6">
        <f>LEFT(Tietokanta!K5,2)+RIGHT(Tietokanta!K5,4)/6000</f>
        <v>68.63616666666667</v>
      </c>
      <c r="E6">
        <f>LEFT(Tietokanta!L5,2)+RIGHT(Tietokanta!L5,4)/6000</f>
        <v>26.993166666666667</v>
      </c>
      <c r="F6" s="128">
        <v>38696</v>
      </c>
      <c r="G6" s="129">
        <v>0.763425925925926</v>
      </c>
      <c r="H6" s="127" t="str">
        <f>Tietokanta!J5</f>
        <v>IVALO</v>
      </c>
      <c r="J6" s="131"/>
    </row>
    <row r="7" spans="1:8" ht="12.75">
      <c r="A7" t="s">
        <v>417</v>
      </c>
      <c r="B7" t="s">
        <v>418</v>
      </c>
      <c r="C7" t="str">
        <f>LEFT(Tietokanta!A6,6)</f>
        <v>DEGER </v>
      </c>
      <c r="D7">
        <f>LEFT(Tietokanta!K6,2)+RIGHT(Tietokanta!K6,4)/6000</f>
        <v>60.25983333333333</v>
      </c>
      <c r="E7">
        <f>LEFT(Tietokanta!L6,2)+RIGHT(Tietokanta!L6,4)/6000</f>
        <v>25.2055</v>
      </c>
      <c r="F7" s="128">
        <v>38696</v>
      </c>
      <c r="G7" s="129">
        <v>0.763425925925926</v>
      </c>
      <c r="H7" s="127" t="str">
        <f>Tietokanta!J6</f>
        <v>MALMI</v>
      </c>
    </row>
    <row r="8" spans="1:8" ht="12.75">
      <c r="A8" t="s">
        <v>417</v>
      </c>
      <c r="B8" t="s">
        <v>418</v>
      </c>
      <c r="C8" t="str">
        <f>LEFT(Tietokanta!A7,6)</f>
        <v>EFAA</v>
      </c>
      <c r="D8">
        <f>LEFT(Tietokanta!K7,2)+RIGHT(Tietokanta!K7,4)/6000</f>
        <v>67.60216666666666</v>
      </c>
      <c r="E8">
        <f>LEFT(Tietokanta!L7,2)+RIGHT(Tietokanta!L7,4)/6000</f>
        <v>23.969666666666665</v>
      </c>
      <c r="F8" s="128">
        <v>38696</v>
      </c>
      <c r="G8" s="129">
        <v>0.763425925925926</v>
      </c>
      <c r="H8" s="127" t="str">
        <f>Tietokanta!J7</f>
        <v>AAVAHELUKKA</v>
      </c>
    </row>
    <row r="9" spans="1:8" ht="12.75">
      <c r="A9" t="s">
        <v>417</v>
      </c>
      <c r="B9" t="s">
        <v>418</v>
      </c>
      <c r="C9" t="str">
        <f>LEFT(Tietokanta!A8,6)</f>
        <v>EFAH</v>
      </c>
      <c r="D9">
        <f>LEFT(Tietokanta!K8,2)+RIGHT(Tietokanta!K8,4)/6000</f>
        <v>64.8905</v>
      </c>
      <c r="E9">
        <f>LEFT(Tietokanta!L8,2)+RIGHT(Tietokanta!L8,4)/6000</f>
        <v>25.751333333333335</v>
      </c>
      <c r="F9" s="128">
        <v>38696</v>
      </c>
      <c r="G9" s="129">
        <v>0.763425925925926</v>
      </c>
      <c r="H9" s="127" t="str">
        <f>Tietokanta!J8</f>
        <v>AHMOSUO</v>
      </c>
    </row>
    <row r="10" spans="1:8" ht="12.75">
      <c r="A10" t="s">
        <v>417</v>
      </c>
      <c r="B10" t="s">
        <v>418</v>
      </c>
      <c r="C10" t="str">
        <f>LEFT(Tietokanta!A9,6)</f>
        <v>EFAL</v>
      </c>
      <c r="D10">
        <f>LEFT(Tietokanta!K9,2)+RIGHT(Tietokanta!K9,4)/6000</f>
        <v>62.55283333333333</v>
      </c>
      <c r="E10">
        <f>LEFT(Tietokanta!L9,2)+RIGHT(Tietokanta!L9,4)/6000</f>
        <v>23.570666666666668</v>
      </c>
      <c r="F10" s="128">
        <v>38696</v>
      </c>
      <c r="G10" s="129">
        <v>0.763425925925926</v>
      </c>
      <c r="H10" s="127" t="str">
        <f>Tietokanta!J9</f>
        <v>ALAVUS</v>
      </c>
    </row>
    <row r="11" spans="1:8" ht="12.75">
      <c r="A11" t="s">
        <v>417</v>
      </c>
      <c r="B11" t="s">
        <v>418</v>
      </c>
      <c r="C11" t="str">
        <f>LEFT(Tietokanta!A10,6)</f>
        <v>EFEJ (</v>
      </c>
      <c r="D11">
        <f>LEFT(Tietokanta!K10,2)+RIGHT(Tietokanta!K10,4)/6000</f>
        <v>60.219166666666666</v>
      </c>
      <c r="E11">
        <f>LEFT(Tietokanta!L10,2)+RIGHT(Tietokanta!L10,4)/6000</f>
        <v>24.685166666666667</v>
      </c>
      <c r="F11" s="128">
        <v>38696</v>
      </c>
      <c r="G11" s="129">
        <v>0.763425925925926</v>
      </c>
      <c r="H11" s="127" t="str">
        <f>Tietokanta!J10</f>
        <v>JORVIN SAIRAALA</v>
      </c>
    </row>
    <row r="12" spans="1:13" ht="12.75">
      <c r="A12" t="s">
        <v>417</v>
      </c>
      <c r="B12" t="s">
        <v>418</v>
      </c>
      <c r="C12" t="str">
        <f>LEFT(Tietokanta!A11,6)</f>
        <v>EFET</v>
      </c>
      <c r="D12">
        <f>LEFT(Tietokanta!K11,2)+RIGHT(Tietokanta!K11,4)/6000</f>
        <v>68.35866666666666</v>
      </c>
      <c r="E12">
        <f>LEFT(Tietokanta!L11,2)+RIGHT(Tietokanta!L11,4)/6000</f>
        <v>23.423166666666667</v>
      </c>
      <c r="F12" s="128">
        <v>38696</v>
      </c>
      <c r="G12" s="129">
        <v>0.763425925925926</v>
      </c>
      <c r="H12" s="127" t="str">
        <f>Tietokanta!J11</f>
        <v>ENONTEKIÖ</v>
      </c>
      <c r="I12" s="126"/>
      <c r="J12" s="6"/>
      <c r="K12" s="126"/>
      <c r="L12" s="126"/>
      <c r="M12" s="130"/>
    </row>
    <row r="13" spans="1:8" ht="12.75">
      <c r="A13" t="s">
        <v>417</v>
      </c>
      <c r="B13" t="s">
        <v>418</v>
      </c>
      <c r="C13" t="str">
        <f>LEFT(Tietokanta!A12,6)</f>
        <v>EFEU</v>
      </c>
      <c r="D13">
        <f>LEFT(Tietokanta!K12,2)+RIGHT(Tietokanta!K12,4)/6000</f>
        <v>61.10966666666667</v>
      </c>
      <c r="E13">
        <f>LEFT(Tietokanta!L12,2)+RIGHT(Tietokanta!L12,4)/6000</f>
        <v>22.200833333333332</v>
      </c>
      <c r="F13" s="128">
        <v>38696</v>
      </c>
      <c r="G13" s="129">
        <v>0.763425925925926</v>
      </c>
      <c r="H13" s="127" t="str">
        <f>Tietokanta!J12</f>
        <v>EURA</v>
      </c>
    </row>
    <row r="14" spans="1:8" ht="12.75">
      <c r="A14" t="s">
        <v>417</v>
      </c>
      <c r="B14" t="s">
        <v>418</v>
      </c>
      <c r="C14" t="str">
        <f>LEFT(Tietokanta!A13,6)</f>
        <v>EFFO</v>
      </c>
      <c r="D14">
        <f>LEFT(Tietokanta!K13,2)+RIGHT(Tietokanta!K13,4)/6000</f>
        <v>60.80116666666667</v>
      </c>
      <c r="E14">
        <f>LEFT(Tietokanta!L13,2)+RIGHT(Tietokanta!L13,4)/6000</f>
        <v>23.640666666666668</v>
      </c>
      <c r="F14" s="128">
        <v>38696</v>
      </c>
      <c r="G14" s="129">
        <v>0.763425925925926</v>
      </c>
      <c r="H14" s="127" t="str">
        <f>Tietokanta!J13</f>
        <v>FORSSA</v>
      </c>
    </row>
    <row r="15" spans="1:8" ht="12.75">
      <c r="A15" t="s">
        <v>417</v>
      </c>
      <c r="B15" t="s">
        <v>418</v>
      </c>
      <c r="C15" t="str">
        <f>LEFT(Tietokanta!A14,6)</f>
        <v>EFGE</v>
      </c>
      <c r="D15">
        <f>LEFT(Tietokanta!K14,2)+RIGHT(Tietokanta!K14,4)/6000</f>
        <v>60.0855</v>
      </c>
      <c r="E15">
        <f>LEFT(Tietokanta!L14,2)+RIGHT(Tietokanta!L14,4)/6000</f>
        <v>22.519833333333334</v>
      </c>
      <c r="F15" s="128">
        <v>38696</v>
      </c>
      <c r="G15" s="129">
        <v>0.763425925925926</v>
      </c>
      <c r="H15" s="127" t="str">
        <f>Tietokanta!J14</f>
        <v>GENBY (Dragsfjärd)</v>
      </c>
    </row>
    <row r="16" spans="1:8" ht="12.75">
      <c r="A16" t="s">
        <v>417</v>
      </c>
      <c r="B16" t="s">
        <v>418</v>
      </c>
      <c r="C16" t="str">
        <f>LEFT(Tietokanta!A15,6)</f>
        <v>EFHA</v>
      </c>
      <c r="D16">
        <f>LEFT(Tietokanta!K15,2)+RIGHT(Tietokanta!K15,4)/6000</f>
        <v>61.853833333333334</v>
      </c>
      <c r="E16">
        <f>LEFT(Tietokanta!L15,2)+RIGHT(Tietokanta!L15,4)/6000</f>
        <v>24.786833333333334</v>
      </c>
      <c r="F16" s="128">
        <v>38696</v>
      </c>
      <c r="G16" s="129">
        <v>0.763425925925926</v>
      </c>
      <c r="H16" s="127" t="str">
        <f>Tietokanta!J15</f>
        <v>HALLI</v>
      </c>
    </row>
    <row r="17" spans="1:8" ht="12.75">
      <c r="A17" t="s">
        <v>417</v>
      </c>
      <c r="B17" t="s">
        <v>418</v>
      </c>
      <c r="C17" t="str">
        <f>LEFT(Tietokanta!A16,6)</f>
        <v>EFHE (</v>
      </c>
      <c r="D17">
        <f>LEFT(Tietokanta!K16,2)+RIGHT(Tietokanta!K16,4)/6000</f>
        <v>60.142</v>
      </c>
      <c r="E17">
        <f>LEFT(Tietokanta!L16,2)+RIGHT(Tietokanta!L16,4)/6000</f>
        <v>24.921166666666668</v>
      </c>
      <c r="F17" s="128">
        <v>38696</v>
      </c>
      <c r="G17" s="129">
        <v>0.763425925925926</v>
      </c>
      <c r="H17" s="127" t="str">
        <f>Tietokanta!J16</f>
        <v>HERNESAARI</v>
      </c>
    </row>
    <row r="18" spans="1:8" ht="12.75">
      <c r="A18" t="s">
        <v>417</v>
      </c>
      <c r="B18" t="s">
        <v>418</v>
      </c>
      <c r="C18" t="str">
        <f>LEFT(Tietokanta!A17,6)</f>
        <v>EFHF</v>
      </c>
      <c r="D18">
        <f>LEFT(Tietokanta!K17,2)+RIGHT(Tietokanta!K17,4)/6000</f>
        <v>60.25233333333333</v>
      </c>
      <c r="E18">
        <f>LEFT(Tietokanta!L17,2)+RIGHT(Tietokanta!L17,4)/6000</f>
        <v>25.039833333333334</v>
      </c>
      <c r="F18" s="128">
        <v>38696</v>
      </c>
      <c r="G18" s="129">
        <v>0.763425925925926</v>
      </c>
      <c r="H18" s="127" t="str">
        <f>Tietokanta!J17</f>
        <v>MALMI</v>
      </c>
    </row>
    <row r="19" spans="1:8" ht="12.75">
      <c r="A19" t="s">
        <v>417</v>
      </c>
      <c r="B19" t="s">
        <v>418</v>
      </c>
      <c r="C19" t="str">
        <f>LEFT(Tietokanta!A18,6)</f>
        <v>EFHJ</v>
      </c>
      <c r="D19">
        <f>LEFT(Tietokanta!K18,2)+RIGHT(Tietokanta!K18,4)/6000</f>
        <v>63.70733333333333</v>
      </c>
      <c r="E19">
        <f>LEFT(Tietokanta!L18,2)+RIGHT(Tietokanta!L18,4)/6000</f>
        <v>25.390333333333334</v>
      </c>
      <c r="F19" s="128">
        <v>38696</v>
      </c>
      <c r="G19" s="129">
        <v>0.763425925925926</v>
      </c>
      <c r="H19" s="127" t="str">
        <f>Tietokanta!J18</f>
        <v>HAAPAJÄRVI</v>
      </c>
    </row>
    <row r="20" spans="1:8" ht="12.75">
      <c r="A20" t="s">
        <v>417</v>
      </c>
      <c r="B20" t="s">
        <v>418</v>
      </c>
      <c r="C20" t="str">
        <f>LEFT(Tietokanta!A19,6)</f>
        <v>EFHK</v>
      </c>
      <c r="D20">
        <f>LEFT(Tietokanta!K19,2)+RIGHT(Tietokanta!K19,4)/6000</f>
        <v>60.317</v>
      </c>
      <c r="E20">
        <f>LEFT(Tietokanta!L19,2)+RIGHT(Tietokanta!L19,4)/6000</f>
        <v>24.958</v>
      </c>
      <c r="F20" s="128">
        <v>38696</v>
      </c>
      <c r="G20" s="129">
        <v>0.763425925925926</v>
      </c>
      <c r="H20" s="127" t="str">
        <f>Tietokanta!J19</f>
        <v>VANTAA</v>
      </c>
    </row>
    <row r="21" spans="1:8" ht="12.75">
      <c r="A21" t="s">
        <v>417</v>
      </c>
      <c r="B21" t="s">
        <v>418</v>
      </c>
      <c r="C21" t="str">
        <f>LEFT(Tietokanta!A20,6)</f>
        <v>EFHL</v>
      </c>
      <c r="D21">
        <f>LEFT(Tietokanta!K20,2)+RIGHT(Tietokanta!K20,4)/6000</f>
        <v>64.96683333333333</v>
      </c>
      <c r="E21">
        <f>LEFT(Tietokanta!L20,2)+RIGHT(Tietokanta!L20,4)/6000</f>
        <v>24.702666666666666</v>
      </c>
      <c r="F21" s="128">
        <v>38696</v>
      </c>
      <c r="G21" s="129">
        <v>0.763425925925926</v>
      </c>
      <c r="H21" s="127" t="str">
        <f>Tietokanta!J20</f>
        <v>HAILUOTO</v>
      </c>
    </row>
    <row r="22" spans="1:8" ht="12.75">
      <c r="A22" t="s">
        <v>417</v>
      </c>
      <c r="B22" t="s">
        <v>418</v>
      </c>
      <c r="C22" t="str">
        <f>LEFT(Tietokanta!A21,6)</f>
        <v>EFHM</v>
      </c>
      <c r="D22">
        <f>LEFT(Tietokanta!K21,2)+RIGHT(Tietokanta!K21,4)/6000</f>
        <v>61.6875</v>
      </c>
      <c r="E22">
        <f>LEFT(Tietokanta!L21,2)+RIGHT(Tietokanta!L21,4)/6000</f>
        <v>23.071166666666667</v>
      </c>
      <c r="F22" s="128">
        <v>38696</v>
      </c>
      <c r="G22" s="129">
        <v>0.763425925925926</v>
      </c>
      <c r="H22" s="127" t="str">
        <f>Tietokanta!J21</f>
        <v>HÄMEENKYRO</v>
      </c>
    </row>
    <row r="23" spans="1:8" ht="12.75">
      <c r="A23" t="s">
        <v>417</v>
      </c>
      <c r="B23" t="s">
        <v>418</v>
      </c>
      <c r="C23" t="str">
        <f>LEFT(Tietokanta!A22,6)</f>
        <v>EFHN</v>
      </c>
      <c r="D23">
        <f>LEFT(Tietokanta!K22,2)+RIGHT(Tietokanta!K22,4)/6000</f>
        <v>59.840666666666664</v>
      </c>
      <c r="E23">
        <f>LEFT(Tietokanta!L22,2)+RIGHT(Tietokanta!L22,4)/6000</f>
        <v>23.076</v>
      </c>
      <c r="F23" s="128">
        <v>38696</v>
      </c>
      <c r="G23" s="129">
        <v>0.763425925925926</v>
      </c>
      <c r="H23" s="127" t="str">
        <f>Tietokanta!J22</f>
        <v>HANKO</v>
      </c>
    </row>
    <row r="24" spans="1:8" ht="12.75">
      <c r="A24" t="s">
        <v>417</v>
      </c>
      <c r="B24" t="s">
        <v>418</v>
      </c>
      <c r="C24" t="str">
        <f>LEFT(Tietokanta!A23,6)</f>
        <v>EFHP</v>
      </c>
      <c r="D24">
        <f>LEFT(Tietokanta!K23,2)+RIGHT(Tietokanta!K23,4)/6000</f>
        <v>64.10783333333333</v>
      </c>
      <c r="E24">
        <f>LEFT(Tietokanta!L23,2)+RIGHT(Tietokanta!L23,4)/6000</f>
        <v>25.5025</v>
      </c>
      <c r="F24" s="128">
        <v>38696</v>
      </c>
      <c r="G24" s="129">
        <v>0.763425925925926</v>
      </c>
      <c r="H24" s="127" t="str">
        <f>Tietokanta!J23</f>
        <v>HAAPAVESI</v>
      </c>
    </row>
    <row r="25" spans="1:8" ht="12.75">
      <c r="A25" t="s">
        <v>417</v>
      </c>
      <c r="B25" t="s">
        <v>418</v>
      </c>
      <c r="C25" t="str">
        <f>LEFT(Tietokanta!A24,6)</f>
        <v>EFHV</v>
      </c>
      <c r="D25">
        <f>LEFT(Tietokanta!K24,2)+RIGHT(Tietokanta!K24,4)/6000</f>
        <v>60.65266666666667</v>
      </c>
      <c r="E25">
        <f>LEFT(Tietokanta!L24,2)+RIGHT(Tietokanta!L24,4)/6000</f>
        <v>24.875333333333334</v>
      </c>
      <c r="F25" s="128">
        <v>38696</v>
      </c>
      <c r="G25" s="129">
        <v>0.763425925925926</v>
      </c>
      <c r="H25" s="127" t="str">
        <f>Tietokanta!J24</f>
        <v>HYVINKÄÄ</v>
      </c>
    </row>
    <row r="26" spans="1:8" ht="12.75">
      <c r="A26" t="s">
        <v>417</v>
      </c>
      <c r="B26" t="s">
        <v>418</v>
      </c>
      <c r="C26" t="str">
        <f>LEFT(Tietokanta!A25,6)</f>
        <v>EFII</v>
      </c>
      <c r="D26">
        <f>LEFT(Tietokanta!K25,2)+RIGHT(Tietokanta!K25,4)/6000</f>
        <v>63.62583333333333</v>
      </c>
      <c r="E26">
        <f>LEFT(Tietokanta!L25,2)+RIGHT(Tietokanta!L25,4)/6000</f>
        <v>27.12</v>
      </c>
      <c r="F26" s="128">
        <v>38696</v>
      </c>
      <c r="G26" s="129">
        <v>0.763425925925926</v>
      </c>
      <c r="H26" s="127" t="str">
        <f>Tietokanta!J25</f>
        <v>IISALMI</v>
      </c>
    </row>
    <row r="27" spans="1:8" ht="12.75">
      <c r="A27" t="s">
        <v>417</v>
      </c>
      <c r="B27" t="s">
        <v>418</v>
      </c>
      <c r="C27" t="str">
        <f>LEFT(Tietokanta!A26,6)</f>
        <v>EFIK</v>
      </c>
      <c r="D27">
        <f>LEFT(Tietokanta!K26,2)+RIGHT(Tietokanta!K26,4)/6000</f>
        <v>60.45766666666667</v>
      </c>
      <c r="E27">
        <f>LEFT(Tietokanta!L26,2)+RIGHT(Tietokanta!L26,4)/6000</f>
        <v>23.650666666666666</v>
      </c>
      <c r="F27" s="128">
        <v>38696</v>
      </c>
      <c r="G27" s="129">
        <v>0.763425925925926</v>
      </c>
      <c r="H27" s="127" t="str">
        <f>Tietokanta!J26</f>
        <v>KIIKALA</v>
      </c>
    </row>
    <row r="28" spans="1:8" ht="12.75">
      <c r="A28" t="s">
        <v>417</v>
      </c>
      <c r="B28" t="s">
        <v>418</v>
      </c>
      <c r="C28" t="str">
        <f>LEFT(Tietokanta!A27,6)</f>
        <v>EFIM</v>
      </c>
      <c r="D28">
        <f>LEFT(Tietokanta!K27,2)+RIGHT(Tietokanta!K27,4)/6000</f>
        <v>61.24316666666667</v>
      </c>
      <c r="E28">
        <f>LEFT(Tietokanta!L27,2)+RIGHT(Tietokanta!L27,4)/6000</f>
        <v>28.902166666666666</v>
      </c>
      <c r="F28" s="128">
        <v>38696</v>
      </c>
      <c r="G28" s="129">
        <v>0.763425925925926</v>
      </c>
      <c r="H28" s="127" t="str">
        <f>Tietokanta!J27</f>
        <v>IMMOLA</v>
      </c>
    </row>
    <row r="29" spans="1:8" ht="12.75">
      <c r="A29" t="s">
        <v>417</v>
      </c>
      <c r="B29" t="s">
        <v>418</v>
      </c>
      <c r="C29" t="str">
        <f>LEFT(Tietokanta!A28,6)</f>
        <v>EFIT</v>
      </c>
      <c r="D29">
        <f>LEFT(Tietokanta!K28,2)+RIGHT(Tietokanta!K28,4)/6000</f>
        <v>62.159666666666666</v>
      </c>
      <c r="E29">
        <f>LEFT(Tietokanta!L28,2)+RIGHT(Tietokanta!L28,4)/6000</f>
        <v>30.070833333333333</v>
      </c>
      <c r="F29" s="128">
        <v>38696</v>
      </c>
      <c r="G29" s="129">
        <v>0.763425925925926</v>
      </c>
      <c r="H29" s="127" t="str">
        <f>Tietokanta!J28</f>
        <v>KITEE</v>
      </c>
    </row>
    <row r="30" spans="1:8" ht="12.75">
      <c r="A30" t="s">
        <v>417</v>
      </c>
      <c r="B30" t="s">
        <v>418</v>
      </c>
      <c r="C30" t="str">
        <f>LEFT(Tietokanta!A29,6)</f>
        <v>EFIV</v>
      </c>
      <c r="D30">
        <f>LEFT(Tietokanta!K29,2)+RIGHT(Tietokanta!K29,4)/6000</f>
        <v>68.6065</v>
      </c>
      <c r="E30">
        <f>LEFT(Tietokanta!L29,2)+RIGHT(Tietokanta!L29,4)/6000</f>
        <v>27.408333333333335</v>
      </c>
      <c r="F30" s="128">
        <v>38696</v>
      </c>
      <c r="G30" s="129">
        <v>0.763425925925926</v>
      </c>
      <c r="H30" s="127" t="str">
        <f>Tietokanta!J29</f>
        <v>IVALO</v>
      </c>
    </row>
    <row r="31" spans="1:8" ht="12.75">
      <c r="A31" t="s">
        <v>417</v>
      </c>
      <c r="B31" t="s">
        <v>418</v>
      </c>
      <c r="C31" t="str">
        <f>LEFT(Tietokanta!A30,6)</f>
        <v>EFJM</v>
      </c>
      <c r="D31">
        <f>LEFT(Tietokanta!K30,2)+RIGHT(Tietokanta!K30,4)/6000</f>
        <v>61.773833333333336</v>
      </c>
      <c r="E31">
        <f>LEFT(Tietokanta!L30,2)+RIGHT(Tietokanta!L30,4)/6000</f>
        <v>22.709666666666667</v>
      </c>
      <c r="F31" s="128">
        <v>38696</v>
      </c>
      <c r="G31" s="129">
        <v>0.763425925925926</v>
      </c>
      <c r="H31" s="127" t="str">
        <f>Tietokanta!J30</f>
        <v>JÄMIJÄRVI</v>
      </c>
    </row>
    <row r="32" spans="1:8" ht="12.75">
      <c r="A32" t="s">
        <v>417</v>
      </c>
      <c r="B32" t="s">
        <v>418</v>
      </c>
      <c r="C32" t="str">
        <f>LEFT(Tietokanta!A31,6)</f>
        <v>EFJO</v>
      </c>
      <c r="D32">
        <f>LEFT(Tietokanta!K31,2)+RIGHT(Tietokanta!K31,4)/6000</f>
        <v>62.65533333333333</v>
      </c>
      <c r="E32">
        <f>LEFT(Tietokanta!L31,2)+RIGHT(Tietokanta!L31,4)/6000</f>
        <v>29.621333333333332</v>
      </c>
      <c r="F32" s="128">
        <v>38696</v>
      </c>
      <c r="G32" s="129">
        <v>0.763425925925926</v>
      </c>
      <c r="H32" s="127" t="str">
        <f>Tietokanta!J31</f>
        <v>JOENSUU</v>
      </c>
    </row>
    <row r="33" spans="1:8" ht="12.75">
      <c r="A33" t="s">
        <v>417</v>
      </c>
      <c r="B33" t="s">
        <v>418</v>
      </c>
      <c r="C33" t="str">
        <f>LEFT(Tietokanta!A32,6)</f>
        <v>EFJP</v>
      </c>
      <c r="D33">
        <f>LEFT(Tietokanta!K32,2)+RIGHT(Tietokanta!K32,4)/6000</f>
        <v>68.70683333333334</v>
      </c>
      <c r="E33">
        <f>LEFT(Tietokanta!L32,2)+RIGHT(Tietokanta!L32,4)/6000</f>
        <v>25.751666666666665</v>
      </c>
      <c r="F33" s="128">
        <v>38696</v>
      </c>
      <c r="G33" s="129">
        <v>0.763425925925926</v>
      </c>
      <c r="H33" s="127" t="str">
        <f>Tietokanta!J32</f>
        <v>JÄKALÄPÄÄ</v>
      </c>
    </row>
    <row r="34" spans="1:8" ht="12.75">
      <c r="A34" t="s">
        <v>417</v>
      </c>
      <c r="B34" t="s">
        <v>418</v>
      </c>
      <c r="C34" t="str">
        <f>LEFT(Tietokanta!A33,6)</f>
        <v>EFJY</v>
      </c>
      <c r="D34">
        <f>LEFT(Tietokanta!K33,2)+RIGHT(Tietokanta!K33,4)/6000</f>
        <v>62.4005</v>
      </c>
      <c r="E34">
        <f>LEFT(Tietokanta!L33,2)+RIGHT(Tietokanta!L33,4)/6000</f>
        <v>25.670333333333332</v>
      </c>
      <c r="F34" s="128">
        <v>38696</v>
      </c>
      <c r="G34" s="129">
        <v>0.763425925925926</v>
      </c>
      <c r="H34" s="127" t="str">
        <f>Tietokanta!J33</f>
        <v>JYVÄSKYLÄ</v>
      </c>
    </row>
    <row r="35" spans="1:8" ht="12.75">
      <c r="A35" t="s">
        <v>417</v>
      </c>
      <c r="B35" t="s">
        <v>418</v>
      </c>
      <c r="C35" t="str">
        <f>LEFT(Tietokanta!A34,6)</f>
        <v>EFKA</v>
      </c>
      <c r="D35">
        <f>LEFT(Tietokanta!K34,2)+RIGHT(Tietokanta!K34,4)/6000</f>
        <v>63.12116666666667</v>
      </c>
      <c r="E35">
        <f>LEFT(Tietokanta!L34,2)+RIGHT(Tietokanta!L34,4)/6000</f>
        <v>23.050833333333333</v>
      </c>
      <c r="F35" s="128">
        <v>38696</v>
      </c>
      <c r="G35" s="129">
        <v>0.763425925925926</v>
      </c>
      <c r="H35" s="127" t="str">
        <f>Tietokanta!J34</f>
        <v>KAUHAVA</v>
      </c>
    </row>
    <row r="36" spans="1:8" ht="12.75">
      <c r="A36" t="s">
        <v>417</v>
      </c>
      <c r="B36" t="s">
        <v>418</v>
      </c>
      <c r="C36" t="str">
        <f>LEFT(Tietokanta!A35,6)</f>
        <v>EFKE</v>
      </c>
      <c r="D36">
        <f>LEFT(Tietokanta!K35,2)+RIGHT(Tietokanta!K35,4)/6000</f>
        <v>65.77416666666667</v>
      </c>
      <c r="E36">
        <f>LEFT(Tietokanta!L35,2)+RIGHT(Tietokanta!L35,4)/6000</f>
        <v>24.58416666666667</v>
      </c>
      <c r="F36" s="128">
        <v>38696</v>
      </c>
      <c r="G36" s="129">
        <v>0.763425925925926</v>
      </c>
      <c r="H36" s="127" t="str">
        <f>Tietokanta!J35</f>
        <v>KEMI-TORNIO</v>
      </c>
    </row>
    <row r="37" spans="1:8" ht="12.75">
      <c r="A37" t="s">
        <v>417</v>
      </c>
      <c r="B37" t="s">
        <v>418</v>
      </c>
      <c r="C37" t="str">
        <f>LEFT(Tietokanta!A36,6)</f>
        <v>EFKG</v>
      </c>
      <c r="D37">
        <f>LEFT(Tietokanta!K36,2)+RIGHT(Tietokanta!K36,4)/6000</f>
        <v>60.2415</v>
      </c>
      <c r="E37">
        <f>LEFT(Tietokanta!L36,2)+RIGHT(Tietokanta!L36,4)/6000</f>
        <v>20.802833333333332</v>
      </c>
      <c r="F37" s="128">
        <v>38696</v>
      </c>
      <c r="G37" s="129">
        <v>0.763425925925926</v>
      </c>
      <c r="H37" s="127" t="str">
        <f>Tietokanta!J36</f>
        <v>KUMKLINGE</v>
      </c>
    </row>
    <row r="38" spans="1:8" ht="12.75">
      <c r="A38" t="s">
        <v>417</v>
      </c>
      <c r="B38" t="s">
        <v>418</v>
      </c>
      <c r="C38" t="str">
        <f>LEFT(Tietokanta!A37,6)</f>
        <v>EFKH</v>
      </c>
      <c r="D38">
        <f>LEFT(Tietokanta!K37,2)+RIGHT(Tietokanta!K37,4)/6000</f>
        <v>64.1075</v>
      </c>
      <c r="E38">
        <f>LEFT(Tietokanta!L37,2)+RIGHT(Tietokanta!L37,4)/6000</f>
        <v>29.4365</v>
      </c>
      <c r="F38" s="128">
        <v>38696</v>
      </c>
      <c r="G38" s="129">
        <v>0.763425925925926</v>
      </c>
      <c r="H38" s="127" t="str">
        <f>Tietokanta!J37</f>
        <v>KUHMO</v>
      </c>
    </row>
    <row r="39" spans="1:8" ht="12.75">
      <c r="A39" t="s">
        <v>417</v>
      </c>
      <c r="B39" t="s">
        <v>418</v>
      </c>
      <c r="C39" t="str">
        <f>LEFT(Tietokanta!A38,6)</f>
        <v>EFKI</v>
      </c>
      <c r="D39">
        <f>LEFT(Tietokanta!K38,2)+RIGHT(Tietokanta!K38,4)/6000</f>
        <v>64.28383333333333</v>
      </c>
      <c r="E39">
        <f>LEFT(Tietokanta!L38,2)+RIGHT(Tietokanta!L38,4)/6000</f>
        <v>27.685833333333335</v>
      </c>
      <c r="F39" s="128">
        <v>38696</v>
      </c>
      <c r="G39" s="129">
        <v>0.763425925925926</v>
      </c>
      <c r="H39" s="127" t="str">
        <f>Tietokanta!J38</f>
        <v>KAJAANI</v>
      </c>
    </row>
    <row r="40" spans="1:8" ht="12.75">
      <c r="A40" t="s">
        <v>417</v>
      </c>
      <c r="B40" t="s">
        <v>418</v>
      </c>
      <c r="C40" t="str">
        <f>LEFT(Tietokanta!A39,6)</f>
        <v>EFKJ</v>
      </c>
      <c r="D40">
        <f>LEFT(Tietokanta!K39,2)+RIGHT(Tietokanta!K39,4)/6000</f>
        <v>62.458</v>
      </c>
      <c r="E40">
        <f>LEFT(Tietokanta!L39,2)+RIGHT(Tietokanta!L39,4)/6000</f>
        <v>22.388</v>
      </c>
      <c r="F40" s="128">
        <v>38696</v>
      </c>
      <c r="G40" s="129">
        <v>0.763425925925926</v>
      </c>
      <c r="H40" s="127" t="str">
        <f>Tietokanta!J39</f>
        <v>KAUHAJOKI</v>
      </c>
    </row>
    <row r="41" spans="1:8" ht="12.75">
      <c r="A41" t="s">
        <v>417</v>
      </c>
      <c r="B41" t="s">
        <v>418</v>
      </c>
      <c r="C41" t="str">
        <f>LEFT(Tietokanta!A40,6)</f>
        <v>EFKK</v>
      </c>
      <c r="D41">
        <f>LEFT(Tietokanta!K40,2)+RIGHT(Tietokanta!K40,4)/6000</f>
        <v>63.718833333333336</v>
      </c>
      <c r="E41">
        <f>LEFT(Tietokanta!L40,2)+RIGHT(Tietokanta!L40,4)/6000</f>
        <v>23.136833333333332</v>
      </c>
      <c r="F41" s="128">
        <v>38696</v>
      </c>
      <c r="G41" s="129">
        <v>0.763425925925926</v>
      </c>
      <c r="H41" s="127" t="str">
        <f>Tietokanta!J40</f>
        <v>KOKKOLA-PIETARSA</v>
      </c>
    </row>
    <row r="42" spans="1:8" ht="12.75">
      <c r="A42" t="s">
        <v>417</v>
      </c>
      <c r="B42" t="s">
        <v>418</v>
      </c>
      <c r="C42" t="str">
        <f>LEFT(Tietokanta!A41,6)</f>
        <v>EFKM</v>
      </c>
      <c r="D42">
        <f>LEFT(Tietokanta!K41,2)+RIGHT(Tietokanta!K41,4)/6000</f>
        <v>66.7095</v>
      </c>
      <c r="E42">
        <f>LEFT(Tietokanta!L41,2)+RIGHT(Tietokanta!L41,4)/6000</f>
        <v>27.154333333333334</v>
      </c>
      <c r="F42" s="128">
        <v>38696</v>
      </c>
      <c r="G42" s="129">
        <v>0.763425925925926</v>
      </c>
      <c r="H42" s="127" t="str">
        <f>Tietokanta!J41</f>
        <v>KEMIJÄRVI</v>
      </c>
    </row>
    <row r="43" spans="1:8" ht="12.75">
      <c r="A43" t="s">
        <v>417</v>
      </c>
      <c r="B43" t="s">
        <v>418</v>
      </c>
      <c r="C43" t="str">
        <f>LEFT(Tietokanta!A42,6)</f>
        <v>EFKN</v>
      </c>
      <c r="D43">
        <f>LEFT(Tietokanta!K42,2)+RIGHT(Tietokanta!K42,4)/6000</f>
        <v>63.919</v>
      </c>
      <c r="E43">
        <f>LEFT(Tietokanta!L42,2)+RIGHT(Tietokanta!L42,4)/6000</f>
        <v>24.085333333333335</v>
      </c>
      <c r="F43" s="128">
        <v>38696</v>
      </c>
      <c r="G43" s="129">
        <v>0.763425925925926</v>
      </c>
      <c r="H43" s="127" t="str">
        <f>Tietokanta!J42</f>
        <v>KANNUS</v>
      </c>
    </row>
    <row r="44" spans="1:8" ht="12.75">
      <c r="A44" t="s">
        <v>417</v>
      </c>
      <c r="B44" t="s">
        <v>418</v>
      </c>
      <c r="C44" t="str">
        <f>LEFT(Tietokanta!A43,6)</f>
        <v>EFKO</v>
      </c>
      <c r="D44">
        <f>LEFT(Tietokanta!K43,2)+RIGHT(Tietokanta!K43,4)/6000</f>
        <v>64.22383333333333</v>
      </c>
      <c r="E44">
        <f>LEFT(Tietokanta!L43,2)+RIGHT(Tietokanta!L43,4)/6000</f>
        <v>23.8225</v>
      </c>
      <c r="F44" s="128">
        <v>38696</v>
      </c>
      <c r="G44" s="129">
        <v>0.763425925925926</v>
      </c>
      <c r="H44" s="127" t="str">
        <f>Tietokanta!J43</f>
        <v>KALAJOKI</v>
      </c>
    </row>
    <row r="45" spans="1:8" ht="12.75">
      <c r="A45" t="s">
        <v>417</v>
      </c>
      <c r="B45" t="s">
        <v>418</v>
      </c>
      <c r="C45" t="str">
        <f>LEFT(Tietokanta!A44,6)</f>
        <v>EFKR</v>
      </c>
      <c r="D45">
        <f>LEFT(Tietokanta!K44,2)+RIGHT(Tietokanta!K44,4)/6000</f>
        <v>63.98683333333334</v>
      </c>
      <c r="E45">
        <f>LEFT(Tietokanta!L44,2)+RIGHT(Tietokanta!L44,4)/6000</f>
        <v>25.7395</v>
      </c>
      <c r="F45" s="128">
        <v>38696</v>
      </c>
      <c r="G45" s="129">
        <v>0.763425925925926</v>
      </c>
      <c r="H45" s="127" t="str">
        <f>Tietokanta!J44</f>
        <v>KÄRSÄMÄKI</v>
      </c>
    </row>
    <row r="46" spans="1:8" ht="12.75">
      <c r="A46" t="s">
        <v>417</v>
      </c>
      <c r="B46" t="s">
        <v>418</v>
      </c>
      <c r="C46" t="str">
        <f>LEFT(Tietokanta!A45,6)</f>
        <v>EFKS</v>
      </c>
      <c r="D46">
        <f>LEFT(Tietokanta!K45,2)+RIGHT(Tietokanta!K45,4)/6000</f>
        <v>65.9875</v>
      </c>
      <c r="E46">
        <f>LEFT(Tietokanta!L45,2)+RIGHT(Tietokanta!L45,4)/6000</f>
        <v>29.225833333333334</v>
      </c>
      <c r="F46" s="128">
        <v>38696</v>
      </c>
      <c r="G46" s="129">
        <v>0.763425925925926</v>
      </c>
      <c r="H46" s="127" t="str">
        <f>Tietokanta!J45</f>
        <v>KUUSAMO</v>
      </c>
    </row>
    <row r="47" spans="1:8" ht="12.75">
      <c r="A47" t="s">
        <v>417</v>
      </c>
      <c r="B47" t="s">
        <v>418</v>
      </c>
      <c r="C47" t="str">
        <f>LEFT(Tietokanta!A46,6)</f>
        <v>EFKT</v>
      </c>
      <c r="D47">
        <f>LEFT(Tietokanta!K46,2)+RIGHT(Tietokanta!K46,4)/6000</f>
        <v>67.6925</v>
      </c>
      <c r="E47">
        <f>LEFT(Tietokanta!L46,2)+RIGHT(Tietokanta!L46,4)/6000</f>
        <v>24.842166666666667</v>
      </c>
      <c r="F47" s="128">
        <v>38696</v>
      </c>
      <c r="G47" s="129">
        <v>0.763425925925926</v>
      </c>
      <c r="H47" s="127" t="str">
        <f>Tietokanta!J46</f>
        <v>KITTILÄ</v>
      </c>
    </row>
    <row r="48" spans="1:8" ht="12.75">
      <c r="A48" t="s">
        <v>417</v>
      </c>
      <c r="B48" t="s">
        <v>418</v>
      </c>
      <c r="C48" t="str">
        <f>LEFT(Tietokanta!A47,6)</f>
        <v>EFKU</v>
      </c>
      <c r="D48">
        <f>LEFT(Tietokanta!K47,2)+RIGHT(Tietokanta!K47,4)/6000</f>
        <v>63.00516666666667</v>
      </c>
      <c r="E48">
        <f>LEFT(Tietokanta!L47,2)+RIGHT(Tietokanta!L47,4)/6000</f>
        <v>27.79</v>
      </c>
      <c r="F48" s="128">
        <v>38696</v>
      </c>
      <c r="G48" s="129">
        <v>0.763425925925926</v>
      </c>
      <c r="H48" s="127" t="str">
        <f>Tietokanta!J47</f>
        <v>KUOPIO</v>
      </c>
    </row>
    <row r="49" spans="1:8" ht="12.75">
      <c r="A49" t="s">
        <v>417</v>
      </c>
      <c r="B49" t="s">
        <v>418</v>
      </c>
      <c r="C49" t="str">
        <f>LEFT(Tietokanta!A48,6)</f>
        <v>EFKV</v>
      </c>
      <c r="D49">
        <f>LEFT(Tietokanta!K48,2)+RIGHT(Tietokanta!K48,4)/6000</f>
        <v>63.121833333333335</v>
      </c>
      <c r="E49">
        <f>LEFT(Tietokanta!L48,2)+RIGHT(Tietokanta!L48,4)/6000</f>
        <v>25.121166666666667</v>
      </c>
      <c r="F49" s="128">
        <v>38696</v>
      </c>
      <c r="G49" s="129">
        <v>0.763425925925926</v>
      </c>
      <c r="H49" s="127" t="str">
        <f>Tietokanta!J48</f>
        <v>KIVIJÄRVI</v>
      </c>
    </row>
    <row r="50" spans="1:8" ht="12.75">
      <c r="A50" t="s">
        <v>417</v>
      </c>
      <c r="B50" t="s">
        <v>418</v>
      </c>
      <c r="C50" t="str">
        <f>LEFT(Tietokanta!A49,6)</f>
        <v>EFKY</v>
      </c>
      <c r="D50">
        <f>LEFT(Tietokanta!K49,2)+RIGHT(Tietokanta!K49,4)/6000</f>
        <v>60.5695</v>
      </c>
      <c r="E50">
        <f>LEFT(Tietokanta!L49,2)+RIGHT(Tietokanta!L49,4)/6000</f>
        <v>26.891</v>
      </c>
      <c r="F50" s="128">
        <v>38696</v>
      </c>
      <c r="G50" s="129">
        <v>0.763425925925926</v>
      </c>
      <c r="H50" s="127" t="str">
        <f>Tietokanta!J49</f>
        <v>KYMI</v>
      </c>
    </row>
    <row r="51" spans="1:8" ht="12.75">
      <c r="A51" t="s">
        <v>417</v>
      </c>
      <c r="B51" t="s">
        <v>418</v>
      </c>
      <c r="C51" t="str">
        <f>LEFT(Tietokanta!A50,6)</f>
        <v>EFLA</v>
      </c>
      <c r="D51">
        <f>LEFT(Tietokanta!K50,2)+RIGHT(Tietokanta!K50,4)/6000</f>
        <v>61.139833333333335</v>
      </c>
      <c r="E51">
        <f>LEFT(Tietokanta!L50,2)+RIGHT(Tietokanta!L50,4)/6000</f>
        <v>25.689166666666665</v>
      </c>
      <c r="F51" s="128">
        <v>38696</v>
      </c>
      <c r="G51" s="129">
        <v>0.763425925925926</v>
      </c>
      <c r="H51" s="127" t="str">
        <f>Tietokanta!J50</f>
        <v>LAHTI-VESIVEHMAA</v>
      </c>
    </row>
    <row r="52" spans="1:8" ht="12.75">
      <c r="A52" t="s">
        <v>417</v>
      </c>
      <c r="B52" t="s">
        <v>418</v>
      </c>
      <c r="C52" t="str">
        <f>LEFT(Tietokanta!A51,6)</f>
        <v>EFLL</v>
      </c>
      <c r="D52">
        <f>LEFT(Tietokanta!K51,2)+RIGHT(Tietokanta!K51,4)/6000</f>
        <v>63.393</v>
      </c>
      <c r="E52">
        <f>LEFT(Tietokanta!L51,2)+RIGHT(Tietokanta!L51,4)/6000</f>
        <v>27.474</v>
      </c>
      <c r="F52" s="128">
        <v>38696</v>
      </c>
      <c r="G52" s="129">
        <v>0.763425925925926</v>
      </c>
      <c r="H52" s="127" t="str">
        <f>Tietokanta!J51</f>
        <v>LAPINLAHTI</v>
      </c>
    </row>
    <row r="53" spans="1:8" ht="12.75">
      <c r="A53" t="s">
        <v>417</v>
      </c>
      <c r="B53" t="s">
        <v>418</v>
      </c>
      <c r="C53" t="str">
        <f>LEFT(Tietokanta!A52,6)</f>
        <v>EFLN</v>
      </c>
      <c r="D53">
        <f>LEFT(Tietokanta!K52,2)+RIGHT(Tietokanta!K52,4)/6000</f>
        <v>63.50716666666667</v>
      </c>
      <c r="E53">
        <f>LEFT(Tietokanta!L52,2)+RIGHT(Tietokanta!L52,4)/6000</f>
        <v>29.624166666666667</v>
      </c>
      <c r="F53" s="128">
        <v>38696</v>
      </c>
      <c r="G53" s="129">
        <v>0.763425925925926</v>
      </c>
      <c r="H53" s="127" t="str">
        <f>Tietokanta!J52</f>
        <v>LIEKSA-NURMES</v>
      </c>
    </row>
    <row r="54" spans="1:8" ht="12.75">
      <c r="A54" t="s">
        <v>417</v>
      </c>
      <c r="B54" t="s">
        <v>418</v>
      </c>
      <c r="C54" t="str">
        <f>LEFT(Tietokanta!A53,6)</f>
        <v>EFLP</v>
      </c>
      <c r="D54">
        <f>LEFT(Tietokanta!K53,2)+RIGHT(Tietokanta!K53,4)/6000</f>
        <v>61.04083333333333</v>
      </c>
      <c r="E54">
        <f>LEFT(Tietokanta!L53,2)+RIGHT(Tietokanta!L53,4)/6000</f>
        <v>28.1425</v>
      </c>
      <c r="F54" s="128">
        <v>38696</v>
      </c>
      <c r="G54" s="129">
        <v>0.763425925925926</v>
      </c>
      <c r="H54" s="127" t="str">
        <f>Tietokanta!J53</f>
        <v>LAPPEENRANTA</v>
      </c>
    </row>
    <row r="55" spans="1:8" ht="12.75">
      <c r="A55" t="s">
        <v>417</v>
      </c>
      <c r="B55" t="s">
        <v>418</v>
      </c>
      <c r="C55" t="str">
        <f>LEFT(Tietokanta!A54,6)</f>
        <v>EFMA</v>
      </c>
      <c r="D55">
        <f>LEFT(Tietokanta!K54,2)+RIGHT(Tietokanta!K54,4)/6000</f>
        <v>60.11983333333333</v>
      </c>
      <c r="E55">
        <f>LEFT(Tietokanta!L54,2)+RIGHT(Tietokanta!L54,4)/6000</f>
        <v>19.891166666666667</v>
      </c>
      <c r="F55" s="128">
        <v>38696</v>
      </c>
      <c r="G55" s="129">
        <v>0.763425925925926</v>
      </c>
      <c r="H55" s="127" t="str">
        <f>Tietokanta!J54</f>
        <v>MAARIANHAMINA</v>
      </c>
    </row>
    <row r="56" spans="1:8" ht="12.75">
      <c r="A56" t="s">
        <v>417</v>
      </c>
      <c r="B56" t="s">
        <v>418</v>
      </c>
      <c r="C56" t="str">
        <f>LEFT(Tietokanta!A55,6)</f>
        <v>EFME</v>
      </c>
      <c r="D56">
        <f>LEFT(Tietokanta!K55,2)+RIGHT(Tietokanta!K55,4)/6000</f>
        <v>62.94133333333333</v>
      </c>
      <c r="E56">
        <f>LEFT(Tietokanta!L55,2)+RIGHT(Tietokanta!L55,4)/6000</f>
        <v>23.518</v>
      </c>
      <c r="F56" s="128">
        <v>38696</v>
      </c>
      <c r="G56" s="129">
        <v>0.763425925925926</v>
      </c>
      <c r="H56" s="127" t="str">
        <f>Tietokanta!J55</f>
        <v>MENKIJÄRVI</v>
      </c>
    </row>
    <row r="57" spans="1:8" ht="12.75">
      <c r="A57" t="s">
        <v>417</v>
      </c>
      <c r="B57" t="s">
        <v>418</v>
      </c>
      <c r="C57" t="str">
        <f>LEFT(Tietokanta!A56,6)</f>
        <v>EFMI</v>
      </c>
      <c r="D57">
        <f>LEFT(Tietokanta!K56,2)+RIGHT(Tietokanta!K56,4)/6000</f>
        <v>61.68516666666667</v>
      </c>
      <c r="E57">
        <f>LEFT(Tietokanta!L56,2)+RIGHT(Tietokanta!L56,4)/6000</f>
        <v>27.2</v>
      </c>
      <c r="F57" s="128">
        <v>38696</v>
      </c>
      <c r="G57" s="129">
        <v>0.763425925925926</v>
      </c>
      <c r="H57" s="127" t="str">
        <f>Tietokanta!J56</f>
        <v>MIKKELI</v>
      </c>
    </row>
    <row r="58" spans="1:8" ht="12.75">
      <c r="A58" t="s">
        <v>417</v>
      </c>
      <c r="B58" t="s">
        <v>418</v>
      </c>
      <c r="C58" t="str">
        <f>LEFT(Tietokanta!A57,6)</f>
        <v>EFMN</v>
      </c>
      <c r="D58">
        <f>LEFT(Tietokanta!K57,2)+RIGHT(Tietokanta!K57,4)/6000</f>
        <v>60.570166666666665</v>
      </c>
      <c r="E58">
        <f>LEFT(Tietokanta!L57,2)+RIGHT(Tietokanta!L57,4)/6000</f>
        <v>25.505333333333333</v>
      </c>
      <c r="F58" s="128">
        <v>38696</v>
      </c>
      <c r="G58" s="129">
        <v>0.763425925925926</v>
      </c>
      <c r="H58" s="127" t="str">
        <f>Tietokanta!J57</f>
        <v>MÄNTSÄLÄ</v>
      </c>
    </row>
    <row r="59" spans="1:8" ht="12.75">
      <c r="A59" t="s">
        <v>417</v>
      </c>
      <c r="B59" t="s">
        <v>418</v>
      </c>
      <c r="C59" t="str">
        <f>LEFT(Tietokanta!A58,6)</f>
        <v>EFMP</v>
      </c>
      <c r="D59">
        <f>LEFT(Tietokanta!K58,2)+RIGHT(Tietokanta!K58,4)/6000</f>
        <v>68.65616666666666</v>
      </c>
      <c r="E59">
        <f>LEFT(Tietokanta!L58,2)+RIGHT(Tietokanta!L58,4)/6000</f>
        <v>25.701666666666668</v>
      </c>
      <c r="F59" s="128">
        <v>38696</v>
      </c>
      <c r="G59" s="129">
        <v>0.763425925925926</v>
      </c>
      <c r="H59" s="127" t="str">
        <f>Tietokanta!J58</f>
        <v>MARTINIISKONPALO</v>
      </c>
    </row>
    <row r="60" spans="1:8" ht="12.75">
      <c r="A60" t="s">
        <v>417</v>
      </c>
      <c r="B60" t="s">
        <v>418</v>
      </c>
      <c r="C60" t="str">
        <f>LEFT(Tietokanta!A59,6)</f>
        <v>EFNS</v>
      </c>
      <c r="D60">
        <f>LEFT(Tietokanta!K59,2)+RIGHT(Tietokanta!K59,4)/6000</f>
        <v>60.51866666666667</v>
      </c>
      <c r="E60">
        <f>LEFT(Tietokanta!L59,2)+RIGHT(Tietokanta!L59,4)/6000</f>
        <v>24.825666666666667</v>
      </c>
      <c r="F60" s="128">
        <v>38696</v>
      </c>
      <c r="G60" s="129">
        <v>0.763425925925926</v>
      </c>
      <c r="H60" s="127" t="str">
        <f>Tietokanta!J59</f>
        <v>SAVIKKO</v>
      </c>
    </row>
    <row r="61" spans="1:8" ht="12.75">
      <c r="A61" t="s">
        <v>417</v>
      </c>
      <c r="B61" t="s">
        <v>418</v>
      </c>
      <c r="C61" t="str">
        <f>LEFT(Tietokanta!A60,6)</f>
        <v>EFNU</v>
      </c>
      <c r="D61">
        <f>LEFT(Tietokanta!K60,2)+RIGHT(Tietokanta!K60,4)/6000</f>
        <v>60.333666666666666</v>
      </c>
      <c r="E61">
        <f>LEFT(Tietokanta!L60,2)+RIGHT(Tietokanta!L60,4)/6000</f>
        <v>24.291166666666665</v>
      </c>
      <c r="F61" s="128">
        <v>38696</v>
      </c>
      <c r="G61" s="129">
        <v>0.763425925925926</v>
      </c>
      <c r="H61" s="127" t="str">
        <f>Tietokanta!J60</f>
        <v>NUMMELA</v>
      </c>
    </row>
    <row r="62" spans="1:8" ht="12.75">
      <c r="A62" t="s">
        <v>417</v>
      </c>
      <c r="B62" t="s">
        <v>418</v>
      </c>
      <c r="C62" t="str">
        <f>LEFT(Tietokanta!A61,6)</f>
        <v>EFOP</v>
      </c>
      <c r="D62">
        <f>LEFT(Tietokanta!K61,2)+RIGHT(Tietokanta!K61,4)/6000</f>
        <v>60.8725</v>
      </c>
      <c r="E62">
        <f>LEFT(Tietokanta!L61,2)+RIGHT(Tietokanta!L61,4)/6000</f>
        <v>22.740166666666667</v>
      </c>
      <c r="F62" s="128">
        <v>38696</v>
      </c>
      <c r="G62" s="129">
        <v>0.763425925925926</v>
      </c>
      <c r="H62" s="127" t="str">
        <f>Tietokanta!J61</f>
        <v>ORIPÄÄ</v>
      </c>
    </row>
    <row r="63" spans="1:8" ht="12.75">
      <c r="A63" t="s">
        <v>417</v>
      </c>
      <c r="B63" t="s">
        <v>418</v>
      </c>
      <c r="C63" t="str">
        <f>LEFT(Tietokanta!A62,6)</f>
        <v>EFOU</v>
      </c>
      <c r="D63">
        <f>LEFT(Tietokanta!K62,2)+RIGHT(Tietokanta!K62,4)/6000</f>
        <v>64.92416666666666</v>
      </c>
      <c r="E63">
        <f>LEFT(Tietokanta!L62,2)+RIGHT(Tietokanta!L62,4)/6000</f>
        <v>25.35333333333333</v>
      </c>
      <c r="F63" s="128">
        <v>38696</v>
      </c>
      <c r="G63" s="129">
        <v>0.763425925925926</v>
      </c>
      <c r="H63" s="127" t="str">
        <f>Tietokanta!J62</f>
        <v>OULU</v>
      </c>
    </row>
    <row r="64" spans="1:8" ht="12.75">
      <c r="A64" t="s">
        <v>417</v>
      </c>
      <c r="B64" t="s">
        <v>418</v>
      </c>
      <c r="C64" t="str">
        <f>LEFT(Tietokanta!A63,6)</f>
        <v>EFPA</v>
      </c>
      <c r="D64">
        <f>LEFT(Tietokanta!K63,2)+RIGHT(Tietokanta!K63,4)/6000</f>
        <v>68.14066666666666</v>
      </c>
      <c r="E64">
        <f>LEFT(Tietokanta!L63,2)+RIGHT(Tietokanta!L63,4)/6000</f>
        <v>25.820333333333334</v>
      </c>
      <c r="F64" s="128">
        <v>38696</v>
      </c>
      <c r="G64" s="129">
        <v>0.763425925925926</v>
      </c>
      <c r="H64" s="127" t="str">
        <f>Tietokanta!J63</f>
        <v>POKKA</v>
      </c>
    </row>
    <row r="65" spans="1:8" ht="12.75">
      <c r="A65" t="s">
        <v>417</v>
      </c>
      <c r="B65" t="s">
        <v>418</v>
      </c>
      <c r="C65" t="str">
        <f>LEFT(Tietokanta!A64,6)</f>
        <v>EFPI</v>
      </c>
      <c r="D65">
        <f>LEFT(Tietokanta!K64,2)+RIGHT(Tietokanta!K64,4)/6000</f>
        <v>61.2405</v>
      </c>
      <c r="E65">
        <f>LEFT(Tietokanta!L64,2)+RIGHT(Tietokanta!L64,4)/6000</f>
        <v>22.190333333333335</v>
      </c>
      <c r="F65" s="128">
        <v>38696</v>
      </c>
      <c r="G65" s="129">
        <v>0.763425925925926</v>
      </c>
      <c r="H65" s="127" t="str">
        <f>Tietokanta!J64</f>
        <v>PIIKAJÄRVI</v>
      </c>
    </row>
    <row r="66" spans="1:8" ht="12.75">
      <c r="A66" t="s">
        <v>417</v>
      </c>
      <c r="B66" t="s">
        <v>418</v>
      </c>
      <c r="C66" t="str">
        <f>LEFT(Tietokanta!A65,6)</f>
        <v>EFPK</v>
      </c>
      <c r="D66">
        <f>LEFT(Tietokanta!K65,2)+RIGHT(Tietokanta!K65,4)/6000</f>
        <v>62.258833333333335</v>
      </c>
      <c r="E66">
        <f>LEFT(Tietokanta!L65,2)+RIGHT(Tietokanta!L65,4)/6000</f>
        <v>27.001666666666665</v>
      </c>
      <c r="F66" s="128">
        <v>38696</v>
      </c>
      <c r="G66" s="129">
        <v>0.763425925925926</v>
      </c>
      <c r="H66" s="127" t="str">
        <f>Tietokanta!J65</f>
        <v>PIEKSÄMÄKI</v>
      </c>
    </row>
    <row r="67" spans="1:8" ht="12.75">
      <c r="A67" t="s">
        <v>417</v>
      </c>
      <c r="B67" t="s">
        <v>418</v>
      </c>
      <c r="C67" t="str">
        <f>LEFT(Tietokanta!A66,6)</f>
        <v>EFPN</v>
      </c>
      <c r="D67">
        <f>LEFT(Tietokanta!K66,2)+RIGHT(Tietokanta!K66,4)/6000</f>
        <v>61.724</v>
      </c>
      <c r="E67">
        <f>LEFT(Tietokanta!L66,2)+RIGHT(Tietokanta!L66,4)/6000</f>
        <v>29.3895</v>
      </c>
      <c r="F67" s="128">
        <v>38696</v>
      </c>
      <c r="G67" s="129">
        <v>0.763425925925926</v>
      </c>
      <c r="H67" s="127" t="str">
        <f>Tietokanta!J66</f>
        <v>PUNKAHARJU</v>
      </c>
    </row>
    <row r="68" spans="1:8" ht="12.75">
      <c r="A68" t="s">
        <v>417</v>
      </c>
      <c r="B68" t="s">
        <v>418</v>
      </c>
      <c r="C68" t="str">
        <f>LEFT(Tietokanta!A67,6)</f>
        <v>EFPO</v>
      </c>
      <c r="D68">
        <f>LEFT(Tietokanta!K67,2)+RIGHT(Tietokanta!K67,4)/6000</f>
        <v>61.456833333333336</v>
      </c>
      <c r="E68">
        <f>LEFT(Tietokanta!L67,2)+RIGHT(Tietokanta!L67,4)/6000</f>
        <v>21.792</v>
      </c>
      <c r="F68" s="128">
        <v>38696</v>
      </c>
      <c r="G68" s="129">
        <v>0.763425925925926</v>
      </c>
      <c r="H68" s="127" t="str">
        <f>Tietokanta!J67</f>
        <v>PORI</v>
      </c>
    </row>
    <row r="69" spans="1:8" ht="12.75">
      <c r="A69" t="s">
        <v>417</v>
      </c>
      <c r="B69" t="s">
        <v>418</v>
      </c>
      <c r="C69" t="str">
        <f>LEFT(Tietokanta!A68,6)</f>
        <v>EFPU</v>
      </c>
      <c r="D69">
        <f>LEFT(Tietokanta!K68,2)+RIGHT(Tietokanta!K68,4)/6000</f>
        <v>65.40133333333333</v>
      </c>
      <c r="E69">
        <f>LEFT(Tietokanta!L68,2)+RIGHT(Tietokanta!L68,4)/6000</f>
        <v>26.9415</v>
      </c>
      <c r="F69" s="128">
        <v>38696</v>
      </c>
      <c r="G69" s="129">
        <v>0.763425925925926</v>
      </c>
      <c r="H69" s="127" t="str">
        <f>Tietokanta!J68</f>
        <v>PUDASJÄRVI</v>
      </c>
    </row>
    <row r="70" spans="1:8" ht="12.75">
      <c r="A70" t="s">
        <v>417</v>
      </c>
      <c r="B70" t="s">
        <v>418</v>
      </c>
      <c r="C70" t="str">
        <f>LEFT(Tietokanta!A69,6)</f>
        <v>EFPY</v>
      </c>
      <c r="D70">
        <f>LEFT(Tietokanta!K69,2)+RIGHT(Tietokanta!K69,4)/6000</f>
        <v>63.72416666666667</v>
      </c>
      <c r="E70">
        <f>LEFT(Tietokanta!L69,2)+RIGHT(Tietokanta!L69,4)/6000</f>
        <v>25.925833333333333</v>
      </c>
      <c r="F70" s="128">
        <v>38696</v>
      </c>
      <c r="G70" s="129">
        <v>0.763425925925926</v>
      </c>
      <c r="H70" s="127" t="str">
        <f>Tietokanta!J69</f>
        <v>PYHÄSALMI</v>
      </c>
    </row>
    <row r="71" spans="1:8" ht="12.75">
      <c r="A71" t="s">
        <v>417</v>
      </c>
      <c r="B71" t="s">
        <v>418</v>
      </c>
      <c r="C71" t="str">
        <f>LEFT(Tietokanta!A70,6)</f>
        <v>EFRA</v>
      </c>
      <c r="D71">
        <f>LEFT(Tietokanta!K70,2)+RIGHT(Tietokanta!K70,4)/6000</f>
        <v>63.421166666666664</v>
      </c>
      <c r="E71">
        <f>LEFT(Tietokanta!L70,2)+RIGHT(Tietokanta!L70,4)/6000</f>
        <v>28.121166666666667</v>
      </c>
      <c r="F71" s="128">
        <v>38696</v>
      </c>
      <c r="G71" s="129">
        <v>0.763425925925926</v>
      </c>
      <c r="H71" s="127" t="str">
        <f>Tietokanta!J70</f>
        <v>RAUTAVAARA</v>
      </c>
    </row>
    <row r="72" spans="1:8" ht="12.75">
      <c r="A72" t="s">
        <v>417</v>
      </c>
      <c r="B72" t="s">
        <v>418</v>
      </c>
      <c r="C72" t="str">
        <f>LEFT(Tietokanta!A71,6)</f>
        <v>EFRH</v>
      </c>
      <c r="D72">
        <f>LEFT(Tietokanta!K71,2)+RIGHT(Tietokanta!K71,4)/6000</f>
        <v>64.68616666666667</v>
      </c>
      <c r="E72">
        <f>LEFT(Tietokanta!L71,2)+RIGHT(Tietokanta!L71,4)/6000</f>
        <v>24.690833333333334</v>
      </c>
      <c r="F72" s="128">
        <v>38696</v>
      </c>
      <c r="G72" s="129">
        <v>0.763425925925926</v>
      </c>
      <c r="H72" s="127" t="str">
        <f>Tietokanta!J71</f>
        <v>RAAHE-PATTIJOKI</v>
      </c>
    </row>
    <row r="73" spans="1:8" ht="12.75">
      <c r="A73" t="s">
        <v>417</v>
      </c>
      <c r="B73" t="s">
        <v>418</v>
      </c>
      <c r="C73" t="str">
        <f>LEFT(Tietokanta!A72,6)</f>
        <v>EFRN</v>
      </c>
      <c r="D73">
        <f>LEFT(Tietokanta!K72,2)+RIGHT(Tietokanta!K72,4)/6000</f>
        <v>62.059333333333335</v>
      </c>
      <c r="E73">
        <f>LEFT(Tietokanta!L72,2)+RIGHT(Tietokanta!L72,4)/6000</f>
        <v>28.354</v>
      </c>
      <c r="F73" s="128">
        <v>38696</v>
      </c>
      <c r="G73" s="129">
        <v>0.763425925925926</v>
      </c>
      <c r="H73" s="127" t="str">
        <f>Tietokanta!J72</f>
        <v>RANTASALMI</v>
      </c>
    </row>
    <row r="74" spans="1:8" ht="12.75">
      <c r="A74" t="s">
        <v>417</v>
      </c>
      <c r="B74" t="s">
        <v>418</v>
      </c>
      <c r="C74" t="str">
        <f>LEFT(Tietokanta!A73,6)</f>
        <v>EFRO</v>
      </c>
      <c r="D74">
        <f>LEFT(Tietokanta!K73,2)+RIGHT(Tietokanta!K73,4)/6000</f>
        <v>66.557</v>
      </c>
      <c r="E74">
        <f>LEFT(Tietokanta!L73,2)+RIGHT(Tietokanta!L73,4)/6000</f>
        <v>25.825166666666668</v>
      </c>
      <c r="F74" s="128">
        <v>38696</v>
      </c>
      <c r="G74" s="129">
        <v>0.763425925925926</v>
      </c>
      <c r="H74" s="127" t="str">
        <f>Tietokanta!J73</f>
        <v>ROVANIEMI</v>
      </c>
    </row>
    <row r="75" spans="1:8" ht="12.75">
      <c r="A75" t="s">
        <v>417</v>
      </c>
      <c r="B75" t="s">
        <v>418</v>
      </c>
      <c r="C75" t="str">
        <f>LEFT(Tietokanta!A74,6)</f>
        <v>EFRU</v>
      </c>
      <c r="D75">
        <f>LEFT(Tietokanta!K74,2)+RIGHT(Tietokanta!K74,4)/6000</f>
        <v>65.9705</v>
      </c>
      <c r="E75">
        <f>LEFT(Tietokanta!L74,2)+RIGHT(Tietokanta!L74,4)/6000</f>
        <v>26.359166666666667</v>
      </c>
      <c r="F75" s="128">
        <v>38696</v>
      </c>
      <c r="G75" s="129">
        <v>0.763425925925926</v>
      </c>
      <c r="H75" s="127" t="str">
        <f>Tietokanta!J74</f>
        <v>RANUA</v>
      </c>
    </row>
    <row r="76" spans="1:8" ht="12.75">
      <c r="A76" t="s">
        <v>417</v>
      </c>
      <c r="B76" t="s">
        <v>418</v>
      </c>
      <c r="C76" t="str">
        <f>LEFT(Tietokanta!A75,6)</f>
        <v>EFRV</v>
      </c>
      <c r="D76">
        <f>LEFT(Tietokanta!K75,2)+RIGHT(Tietokanta!K75,4)/6000</f>
        <v>63.70333333333333</v>
      </c>
      <c r="E76">
        <f>LEFT(Tietokanta!L75,2)+RIGHT(Tietokanta!L75,4)/6000</f>
        <v>26.609833333333334</v>
      </c>
      <c r="F76" s="128">
        <v>38696</v>
      </c>
      <c r="G76" s="129">
        <v>0.763425925925926</v>
      </c>
      <c r="H76" s="127" t="str">
        <f>Tietokanta!J75</f>
        <v>KIURUVESI</v>
      </c>
    </row>
    <row r="77" spans="1:8" ht="12.75">
      <c r="A77" t="s">
        <v>417</v>
      </c>
      <c r="B77" t="s">
        <v>418</v>
      </c>
      <c r="C77" t="str">
        <f>LEFT(Tietokanta!A76,6)</f>
        <v>EFRY</v>
      </c>
      <c r="D77">
        <f>LEFT(Tietokanta!K76,2)+RIGHT(Tietokanta!K76,4)/6000</f>
        <v>60.74016666666667</v>
      </c>
      <c r="E77">
        <f>LEFT(Tietokanta!L76,2)+RIGHT(Tietokanta!L76,4)/6000</f>
        <v>24.104666666666667</v>
      </c>
      <c r="F77" s="128">
        <v>38696</v>
      </c>
      <c r="G77" s="129">
        <v>0.763425925925926</v>
      </c>
      <c r="H77" s="127" t="str">
        <f>Tietokanta!J76</f>
        <v>RÄYSKÄLÄ</v>
      </c>
    </row>
    <row r="78" spans="1:8" ht="12.75">
      <c r="A78" t="s">
        <v>417</v>
      </c>
      <c r="B78" t="s">
        <v>418</v>
      </c>
      <c r="C78" t="str">
        <f>LEFT(Tietokanta!A77,6)</f>
        <v>EFSA</v>
      </c>
      <c r="D78">
        <f>LEFT(Tietokanta!K77,2)+RIGHT(Tietokanta!K77,4)/6000</f>
        <v>61.939</v>
      </c>
      <c r="E78">
        <f>LEFT(Tietokanta!L77,2)+RIGHT(Tietokanta!L77,4)/6000</f>
        <v>28.940333333333335</v>
      </c>
      <c r="F78" s="128">
        <v>38696</v>
      </c>
      <c r="G78" s="129">
        <v>0.763425925925926</v>
      </c>
      <c r="H78" s="127" t="str">
        <f>Tietokanta!J77</f>
        <v>SAVONLINNA</v>
      </c>
    </row>
    <row r="79" spans="1:8" ht="12.75">
      <c r="A79" t="s">
        <v>417</v>
      </c>
      <c r="B79" t="s">
        <v>418</v>
      </c>
      <c r="C79" t="str">
        <f>LEFT(Tietokanta!A78,6)</f>
        <v>EFSE</v>
      </c>
      <c r="D79">
        <f>LEFT(Tietokanta!K78,2)+RIGHT(Tietokanta!K78,4)/6000</f>
        <v>61.0585</v>
      </c>
      <c r="E79">
        <f>LEFT(Tietokanta!L78,2)+RIGHT(Tietokanta!L78,4)/6000</f>
        <v>26.790666666666667</v>
      </c>
      <c r="F79" s="128">
        <v>38696</v>
      </c>
      <c r="G79" s="129">
        <v>0.763425925925926</v>
      </c>
      <c r="H79" s="127" t="str">
        <f>Tietokanta!J78</f>
        <v>SELÄNPÄÄ</v>
      </c>
    </row>
    <row r="80" spans="1:8" ht="12.75">
      <c r="A80" t="s">
        <v>417</v>
      </c>
      <c r="B80" t="s">
        <v>418</v>
      </c>
      <c r="C80" t="str">
        <f>LEFT(Tietokanta!A79,6)</f>
        <v>EFSI</v>
      </c>
      <c r="D80">
        <f>LEFT(Tietokanta!K79,2)+RIGHT(Tietokanta!K79,4)/6000</f>
        <v>62.6895</v>
      </c>
      <c r="E80">
        <f>LEFT(Tietokanta!L79,2)+RIGHT(Tietokanta!L79,4)/6000</f>
        <v>22.825833333333332</v>
      </c>
      <c r="F80" s="128">
        <v>38696</v>
      </c>
      <c r="G80" s="129">
        <v>0.763425925925926</v>
      </c>
      <c r="H80" s="127" t="str">
        <f>Tietokanta!J79</f>
        <v>SEINÄJOKI</v>
      </c>
    </row>
    <row r="81" spans="1:8" ht="12.75">
      <c r="A81" t="s">
        <v>417</v>
      </c>
      <c r="B81" t="s">
        <v>418</v>
      </c>
      <c r="C81" t="str">
        <f>LEFT(Tietokanta!A80,6)</f>
        <v>EFSO</v>
      </c>
      <c r="D81">
        <f>LEFT(Tietokanta!K80,2)+RIGHT(Tietokanta!K80,4)/6000</f>
        <v>67.39133333333334</v>
      </c>
      <c r="E81">
        <f>LEFT(Tietokanta!L80,2)+RIGHT(Tietokanta!L80,4)/6000</f>
        <v>26.6175</v>
      </c>
      <c r="F81" s="128">
        <v>38696</v>
      </c>
      <c r="G81" s="129">
        <v>0.763425925925926</v>
      </c>
      <c r="H81" s="127" t="str">
        <f>Tietokanta!J80</f>
        <v>SODANKYLÄ</v>
      </c>
    </row>
    <row r="82" spans="1:8" ht="12.75">
      <c r="A82" t="s">
        <v>417</v>
      </c>
      <c r="B82" t="s">
        <v>418</v>
      </c>
      <c r="C82" t="str">
        <f>LEFT(Tietokanta!A81,6)</f>
        <v>EFSU</v>
      </c>
      <c r="D82">
        <f>LEFT(Tietokanta!K81,2)+RIGHT(Tietokanta!K81,4)/6000</f>
        <v>64.81983333333334</v>
      </c>
      <c r="E82">
        <f>LEFT(Tietokanta!L81,2)+RIGHT(Tietokanta!L81,4)/6000</f>
        <v>28.706166666666668</v>
      </c>
      <c r="F82" s="128">
        <v>38696</v>
      </c>
      <c r="G82" s="129">
        <v>0.763425925925926</v>
      </c>
      <c r="H82" s="127" t="str">
        <f>Tietokanta!J81</f>
        <v>SUOMUSSALMI</v>
      </c>
    </row>
    <row r="83" spans="1:8" ht="12.75">
      <c r="A83" t="s">
        <v>417</v>
      </c>
      <c r="B83" t="s">
        <v>418</v>
      </c>
      <c r="C83" t="str">
        <f>LEFT(Tietokanta!A82,6)</f>
        <v>EFTO</v>
      </c>
      <c r="D83">
        <f>LEFT(Tietokanta!K82,2)+RIGHT(Tietokanta!K82,4)/6000</f>
        <v>60.07416666666666</v>
      </c>
      <c r="E83">
        <f>LEFT(Tietokanta!L82,2)+RIGHT(Tietokanta!L82,4)/6000</f>
        <v>24.17</v>
      </c>
      <c r="F83" s="128">
        <v>38696</v>
      </c>
      <c r="G83" s="129">
        <v>0.763425925925926</v>
      </c>
      <c r="H83" s="127" t="str">
        <f>Tietokanta!J82</f>
        <v>TORBACKA</v>
      </c>
    </row>
    <row r="84" spans="1:8" ht="12.75">
      <c r="A84" t="s">
        <v>417</v>
      </c>
      <c r="B84" t="s">
        <v>418</v>
      </c>
      <c r="C84" t="str">
        <f>LEFT(Tietokanta!A83,6)</f>
        <v>EFTP</v>
      </c>
      <c r="D84">
        <f>LEFT(Tietokanta!K83,2)+RIGHT(Tietokanta!K83,4)/6000</f>
        <v>61.409166666666664</v>
      </c>
      <c r="E84">
        <f>LEFT(Tietokanta!L83,2)+RIGHT(Tietokanta!L83,4)/6000</f>
        <v>23.586</v>
      </c>
      <c r="F84" s="128">
        <v>38696</v>
      </c>
      <c r="G84" s="129">
        <v>0.763425925925926</v>
      </c>
      <c r="H84" s="127" t="str">
        <f>Tietokanta!J83</f>
        <v>TAMPERE-PIRKKALA</v>
      </c>
    </row>
    <row r="85" spans="1:8" ht="12.75">
      <c r="A85" t="s">
        <v>417</v>
      </c>
      <c r="B85" t="s">
        <v>418</v>
      </c>
      <c r="C85" t="str">
        <f>LEFT(Tietokanta!A84,6)</f>
        <v>EFTS</v>
      </c>
      <c r="D85">
        <f>LEFT(Tietokanta!K84,2)+RIGHT(Tietokanta!K84,4)/6000</f>
        <v>61.7705</v>
      </c>
      <c r="E85">
        <f>LEFT(Tietokanta!L84,2)+RIGHT(Tietokanta!L84,4)/6000</f>
        <v>24.021833333333333</v>
      </c>
      <c r="F85" s="128">
        <v>38696</v>
      </c>
      <c r="G85" s="129">
        <v>0.763425925925926</v>
      </c>
      <c r="H85" s="127" t="str">
        <f>Tietokanta!J84</f>
        <v>TEISKO</v>
      </c>
    </row>
    <row r="86" spans="1:8" ht="12.75">
      <c r="A86" t="s">
        <v>417</v>
      </c>
      <c r="B86" t="s">
        <v>418</v>
      </c>
      <c r="C86" t="str">
        <f>LEFT(Tietokanta!A85,6)</f>
        <v>EFTU</v>
      </c>
      <c r="D86">
        <f>LEFT(Tietokanta!K85,2)+RIGHT(Tietokanta!K85,4)/6000</f>
        <v>60.508833333333335</v>
      </c>
      <c r="E86">
        <f>LEFT(Tietokanta!L85,2)+RIGHT(Tietokanta!L85,4)/6000</f>
        <v>22.257</v>
      </c>
      <c r="F86" s="128">
        <v>38696</v>
      </c>
      <c r="G86" s="129">
        <v>0.763425925925926</v>
      </c>
      <c r="H86" s="127" t="str">
        <f>Tietokanta!J85</f>
        <v>TURKU</v>
      </c>
    </row>
    <row r="87" spans="1:8" ht="12.75">
      <c r="A87" t="s">
        <v>417</v>
      </c>
      <c r="B87" t="s">
        <v>418</v>
      </c>
      <c r="C87" t="str">
        <f>LEFT(Tietokanta!A86,6)</f>
        <v>EFUT</v>
      </c>
      <c r="D87">
        <f>LEFT(Tietokanta!K86,2)+RIGHT(Tietokanta!K86,4)/6000</f>
        <v>60.89116666666666</v>
      </c>
      <c r="E87">
        <f>LEFT(Tietokanta!L86,2)+RIGHT(Tietokanta!L86,4)/6000</f>
        <v>26.936166666666665</v>
      </c>
      <c r="F87" s="128">
        <v>38696</v>
      </c>
      <c r="G87" s="129">
        <v>0.763425925925926</v>
      </c>
      <c r="H87" s="127" t="str">
        <f>Tietokanta!J86</f>
        <v>UTTI</v>
      </c>
    </row>
    <row r="88" spans="1:8" ht="12.75">
      <c r="A88" t="s">
        <v>417</v>
      </c>
      <c r="B88" t="s">
        <v>418</v>
      </c>
      <c r="C88" t="str">
        <f>LEFT(Tietokanta!A87,6)</f>
        <v>EFVA</v>
      </c>
      <c r="D88">
        <f>LEFT(Tietokanta!K87,2)+RIGHT(Tietokanta!K87,4)/6000</f>
        <v>63.0405</v>
      </c>
      <c r="E88">
        <f>LEFT(Tietokanta!L87,2)+RIGHT(Tietokanta!L87,4)/6000</f>
        <v>21.7585</v>
      </c>
      <c r="F88" s="128">
        <v>38696</v>
      </c>
      <c r="G88" s="129">
        <v>0.763425925925926</v>
      </c>
      <c r="H88" s="127" t="str">
        <f>Tietokanta!J87</f>
        <v>VAASA</v>
      </c>
    </row>
    <row r="89" spans="1:8" ht="12.75">
      <c r="A89" t="s">
        <v>417</v>
      </c>
      <c r="B89" t="s">
        <v>418</v>
      </c>
      <c r="C89" t="str">
        <f>LEFT(Tietokanta!A88,6)</f>
        <v>EFWB</v>
      </c>
      <c r="D89">
        <f>LEFT(Tietokanta!K88,2)+RIGHT(Tietokanta!K88,4)/6000</f>
        <v>60.658166666666666</v>
      </c>
      <c r="E89">
        <f>LEFT(Tietokanta!L88,2)+RIGHT(Tietokanta!L88,4)/6000</f>
        <v>26.740833333333335</v>
      </c>
      <c r="F89" s="128">
        <v>38696</v>
      </c>
      <c r="G89" s="129">
        <v>0.763425925925926</v>
      </c>
      <c r="H89" s="127" t="str">
        <f>Tietokanta!J88</f>
        <v>WREDEBY</v>
      </c>
    </row>
    <row r="90" spans="1:8" ht="12.75">
      <c r="A90" t="s">
        <v>417</v>
      </c>
      <c r="B90" t="s">
        <v>418</v>
      </c>
      <c r="C90" t="str">
        <f>LEFT(Tietokanta!A89,6)</f>
        <v>EFVI</v>
      </c>
      <c r="D90">
        <f>LEFT(Tietokanta!K89,2)+RIGHT(Tietokanta!K89,4)/6000</f>
        <v>63.12016666666667</v>
      </c>
      <c r="E90">
        <f>LEFT(Tietokanta!L89,2)+RIGHT(Tietokanta!L89,4)/6000</f>
        <v>25.809666666666665</v>
      </c>
      <c r="F90" s="128">
        <v>38696</v>
      </c>
      <c r="G90" s="129">
        <v>0.763425925925926</v>
      </c>
      <c r="H90" s="127" t="str">
        <f>Tietokanta!J89</f>
        <v>VIITASAARI</v>
      </c>
    </row>
    <row r="91" spans="1:8" ht="12.75">
      <c r="A91" t="s">
        <v>417</v>
      </c>
      <c r="B91" t="s">
        <v>418</v>
      </c>
      <c r="C91" t="str">
        <f>LEFT(Tietokanta!A90,6)</f>
        <v>EFVL</v>
      </c>
      <c r="D91">
        <f>LEFT(Tietokanta!K90,2)+RIGHT(Tietokanta!K90,4)/6000</f>
        <v>64.50116666666666</v>
      </c>
      <c r="E91">
        <f>LEFT(Tietokanta!L90,2)+RIGHT(Tietokanta!L90,4)/6000</f>
        <v>26.756</v>
      </c>
      <c r="F91" s="128">
        <v>38696</v>
      </c>
      <c r="G91" s="129">
        <v>0.763425925925926</v>
      </c>
      <c r="H91" s="127" t="str">
        <f>Tietokanta!J90</f>
        <v>VAALA</v>
      </c>
    </row>
    <row r="92" spans="1:8" ht="12.75">
      <c r="A92" t="s">
        <v>417</v>
      </c>
      <c r="B92" t="s">
        <v>418</v>
      </c>
      <c r="C92" t="str">
        <f>LEFT(Tietokanta!A91,6)</f>
        <v>EFVP</v>
      </c>
      <c r="D92">
        <f>LEFT(Tietokanta!K91,2)+RIGHT(Tietokanta!K91,4)/6000</f>
        <v>61.037166666666664</v>
      </c>
      <c r="E92">
        <f>LEFT(Tietokanta!L91,2)+RIGHT(Tietokanta!L91,4)/6000</f>
        <v>22.588333333333335</v>
      </c>
      <c r="F92" s="128">
        <v>38696</v>
      </c>
      <c r="G92" s="129">
        <v>0.763425925925926</v>
      </c>
      <c r="H92" s="127" t="str">
        <f>Tietokanta!J91</f>
        <v>VAMPULA</v>
      </c>
    </row>
    <row r="93" spans="1:8" ht="12.75">
      <c r="A93" t="s">
        <v>417</v>
      </c>
      <c r="B93" t="s">
        <v>418</v>
      </c>
      <c r="C93" t="str">
        <f>LEFT(Tietokanta!A92,6)</f>
        <v>EFVR</v>
      </c>
      <c r="D93">
        <f>LEFT(Tietokanta!K92,2)+RIGHT(Tietokanta!K92,4)/6000</f>
        <v>62.169333333333334</v>
      </c>
      <c r="E93">
        <f>LEFT(Tietokanta!L92,2)+RIGHT(Tietokanta!L92,4)/6000</f>
        <v>27.867833333333333</v>
      </c>
      <c r="F93" s="128">
        <v>38696</v>
      </c>
      <c r="G93" s="129">
        <v>0.763425925925926</v>
      </c>
      <c r="H93" s="127" t="str">
        <f>Tietokanta!J92</f>
        <v>VARKAUS</v>
      </c>
    </row>
    <row r="94" spans="1:8" ht="12.75">
      <c r="A94" t="s">
        <v>417</v>
      </c>
      <c r="B94" t="s">
        <v>418</v>
      </c>
      <c r="C94" t="str">
        <f>LEFT(Tietokanta!A93,6)</f>
        <v>EFVT</v>
      </c>
      <c r="D94">
        <f>LEFT(Tietokanta!K93,2)+RIGHT(Tietokanta!K93,4)/6000</f>
        <v>63.392</v>
      </c>
      <c r="E94">
        <f>LEFT(Tietokanta!L93,2)+RIGHT(Tietokanta!L93,4)/6000</f>
        <v>24.025</v>
      </c>
      <c r="F94" s="128">
        <v>38696</v>
      </c>
      <c r="G94" s="129">
        <v>0.763425925925926</v>
      </c>
      <c r="H94" s="127" t="str">
        <f>Tietokanta!J93</f>
        <v>SULKAHARJU</v>
      </c>
    </row>
    <row r="95" spans="1:8" ht="12.75">
      <c r="A95" t="s">
        <v>417</v>
      </c>
      <c r="B95" t="s">
        <v>418</v>
      </c>
      <c r="C95" t="str">
        <f>LEFT(Tietokanta!A94,6)</f>
        <v>EFVU</v>
      </c>
      <c r="D95">
        <f>LEFT(Tietokanta!K94,2)+RIGHT(Tietokanta!K94,4)/6000</f>
        <v>68.08566666666667</v>
      </c>
      <c r="E95">
        <f>LEFT(Tietokanta!L94,2)+RIGHT(Tietokanta!L94,4)/6000</f>
        <v>27.121</v>
      </c>
      <c r="F95" s="128">
        <v>38696</v>
      </c>
      <c r="G95" s="129">
        <v>0.763425925925926</v>
      </c>
      <c r="H95" s="127" t="str">
        <f>Tietokanta!J94</f>
        <v>VUOTSO</v>
      </c>
    </row>
    <row r="96" spans="1:8" ht="12.75">
      <c r="A96" t="s">
        <v>417</v>
      </c>
      <c r="B96" t="s">
        <v>418</v>
      </c>
      <c r="C96" t="str">
        <f>LEFT(Tietokanta!A95,6)</f>
        <v>EFYL</v>
      </c>
      <c r="D96">
        <f>LEFT(Tietokanta!K95,2)+RIGHT(Tietokanta!K95,4)/6000</f>
        <v>64.05283333333334</v>
      </c>
      <c r="E96">
        <f>LEFT(Tietokanta!L95,2)+RIGHT(Tietokanta!L95,4)/6000</f>
        <v>24.721833333333333</v>
      </c>
      <c r="F96" s="128">
        <v>38696</v>
      </c>
      <c r="G96" s="129">
        <v>0.763425925925926</v>
      </c>
      <c r="H96" s="127" t="str">
        <f>Tietokanta!J95</f>
        <v>YLIVIESKA</v>
      </c>
    </row>
    <row r="97" spans="1:8" ht="12.75">
      <c r="A97" t="s">
        <v>417</v>
      </c>
      <c r="B97" t="s">
        <v>418</v>
      </c>
      <c r="C97" t="str">
        <f>LEFT(Tietokanta!A96,6)</f>
        <v>ELLIVU</v>
      </c>
      <c r="D97">
        <f>LEFT(Tietokanta!K96,2)+RIGHT(Tietokanta!K96,4)/6000</f>
        <v>61.39233333333333</v>
      </c>
      <c r="E97">
        <f>LEFT(Tietokanta!L96,2)+RIGHT(Tietokanta!L96,4)/6000</f>
        <v>23.543</v>
      </c>
      <c r="F97" s="128">
        <v>38696</v>
      </c>
      <c r="G97" s="129">
        <v>0.763425925925926</v>
      </c>
      <c r="H97" s="127" t="str">
        <f>Tietokanta!J96</f>
        <v>ELLIVUORI</v>
      </c>
    </row>
    <row r="98" spans="1:8" ht="12.75">
      <c r="A98" t="s">
        <v>417</v>
      </c>
      <c r="B98" t="s">
        <v>418</v>
      </c>
      <c r="C98" t="str">
        <f>LEFT(Tietokanta!A97,6)</f>
        <v>EMMET </v>
      </c>
      <c r="D98">
        <f>LEFT(Tietokanta!K97,2)+RIGHT(Tietokanta!K97,4)/6000</f>
        <v>63.6215</v>
      </c>
      <c r="E98">
        <f>LEFT(Tietokanta!L97,2)+RIGHT(Tietokanta!L97,4)/6000</f>
        <v>23.386333333333333</v>
      </c>
      <c r="F98" s="128">
        <v>38696</v>
      </c>
      <c r="G98" s="129">
        <v>0.763425925925926</v>
      </c>
      <c r="H98" s="127" t="str">
        <f>Tietokanta!J97</f>
        <v>KOKKOLA-PIETARSA</v>
      </c>
    </row>
    <row r="99" spans="1:8" ht="12.75">
      <c r="A99" t="s">
        <v>417</v>
      </c>
      <c r="B99" t="s">
        <v>418</v>
      </c>
      <c r="C99" t="e">
        <f>LEFT(Tietokanta!#REF!,6)</f>
        <v>#REF!</v>
      </c>
      <c r="D99" t="e">
        <f>LEFT(Tietokanta!#REF!,2)+RIGHT(Tietokanta!#REF!,4)/6000</f>
        <v>#REF!</v>
      </c>
      <c r="E99" t="e">
        <f>LEFT(Tietokanta!#REF!,2)+RIGHT(Tietokanta!#REF!,4)/6000</f>
        <v>#REF!</v>
      </c>
      <c r="F99" s="128">
        <v>38696</v>
      </c>
      <c r="G99" s="129">
        <v>0.763425925925926</v>
      </c>
      <c r="H99" s="127" t="e">
        <f>Tietokanta!#REF!</f>
        <v>#REF!</v>
      </c>
    </row>
    <row r="100" spans="1:8" ht="12.75">
      <c r="A100" t="s">
        <v>417</v>
      </c>
      <c r="B100" t="s">
        <v>418</v>
      </c>
      <c r="C100" t="e">
        <f>LEFT(Tietokanta!#REF!,6)</f>
        <v>#REF!</v>
      </c>
      <c r="D100" t="e">
        <f>LEFT(Tietokanta!#REF!,2)+RIGHT(Tietokanta!#REF!,4)/6000</f>
        <v>#REF!</v>
      </c>
      <c r="E100" t="e">
        <f>LEFT(Tietokanta!#REF!,2)+RIGHT(Tietokanta!#REF!,4)/6000</f>
        <v>#REF!</v>
      </c>
      <c r="F100" s="128">
        <v>38696</v>
      </c>
      <c r="G100" s="129">
        <v>0.763425925925926</v>
      </c>
      <c r="H100" s="127" t="e">
        <f>Tietokanta!#REF!</f>
        <v>#REF!</v>
      </c>
    </row>
    <row r="101" spans="1:8" ht="12.75">
      <c r="A101" t="s">
        <v>417</v>
      </c>
      <c r="B101" t="s">
        <v>418</v>
      </c>
      <c r="C101" t="e">
        <f>LEFT(Tietokanta!#REF!,6)</f>
        <v>#REF!</v>
      </c>
      <c r="D101" t="e">
        <f>LEFT(Tietokanta!#REF!,2)+RIGHT(Tietokanta!#REF!,4)/6000</f>
        <v>#REF!</v>
      </c>
      <c r="E101" t="e">
        <f>LEFT(Tietokanta!#REF!,2)+RIGHT(Tietokanta!#REF!,4)/6000</f>
        <v>#REF!</v>
      </c>
      <c r="F101" s="128">
        <v>38696</v>
      </c>
      <c r="G101" s="129">
        <v>0.763425925925926</v>
      </c>
      <c r="H101" s="127" t="e">
        <f>Tietokanta!#REF!</f>
        <v>#REF!</v>
      </c>
    </row>
    <row r="102" spans="1:8" ht="12.75">
      <c r="A102" t="s">
        <v>417</v>
      </c>
      <c r="B102" t="s">
        <v>418</v>
      </c>
      <c r="C102" t="e">
        <f>LEFT(Tietokanta!#REF!,6)</f>
        <v>#REF!</v>
      </c>
      <c r="D102" t="e">
        <f>LEFT(Tietokanta!#REF!,2)+RIGHT(Tietokanta!#REF!,4)/6000</f>
        <v>#REF!</v>
      </c>
      <c r="E102" t="e">
        <f>LEFT(Tietokanta!#REF!,2)+RIGHT(Tietokanta!#REF!,4)/6000</f>
        <v>#REF!</v>
      </c>
      <c r="F102" s="128">
        <v>38696</v>
      </c>
      <c r="G102" s="129">
        <v>0.763425925925926</v>
      </c>
      <c r="H102" s="127" t="e">
        <f>Tietokanta!#REF!</f>
        <v>#REF!</v>
      </c>
    </row>
    <row r="103" spans="1:8" ht="12.75">
      <c r="A103" t="s">
        <v>417</v>
      </c>
      <c r="B103" t="s">
        <v>418</v>
      </c>
      <c r="C103" t="str">
        <f>LEFT(Tietokanta!A98,6)</f>
        <v>KARJU </v>
      </c>
      <c r="D103">
        <f>LEFT(Tietokanta!K98,2)+RIGHT(Tietokanta!K98,4)/6000</f>
        <v>62.77033333333333</v>
      </c>
      <c r="E103">
        <f>LEFT(Tietokanta!L98,2)+RIGHT(Tietokanta!L98,4)/6000</f>
        <v>27.717333333333332</v>
      </c>
      <c r="F103" s="128">
        <v>38696</v>
      </c>
      <c r="G103" s="129">
        <v>0.763425925925926</v>
      </c>
      <c r="H103" s="127" t="str">
        <f>Tietokanta!J98</f>
        <v>KUOPIO</v>
      </c>
    </row>
    <row r="104" spans="1:8" ht="12.75">
      <c r="A104" t="s">
        <v>417</v>
      </c>
      <c r="B104" t="s">
        <v>418</v>
      </c>
      <c r="C104" t="str">
        <f>LEFT(Tietokanta!A99,6)</f>
        <v>HAGIS </v>
      </c>
      <c r="D104">
        <f>LEFT(Tietokanta!K99,2)+RIGHT(Tietokanta!K99,4)/6000</f>
        <v>60.20516666666666</v>
      </c>
      <c r="E104">
        <f>LEFT(Tietokanta!L99,2)+RIGHT(Tietokanta!L99,4)/6000</f>
        <v>24.9</v>
      </c>
      <c r="F104" s="128">
        <v>38696</v>
      </c>
      <c r="G104" s="129">
        <v>0.763425925925926</v>
      </c>
      <c r="H104" s="127" t="str">
        <f>Tietokanta!J99</f>
        <v>VANTAA</v>
      </c>
    </row>
    <row r="105" spans="1:8" ht="12.75">
      <c r="A105" t="s">
        <v>417</v>
      </c>
      <c r="B105" t="s">
        <v>418</v>
      </c>
      <c r="C105" t="str">
        <f>LEFT(Tietokanta!A100,6)</f>
        <v>HAKKI </v>
      </c>
      <c r="D105">
        <f>LEFT(Tietokanta!K100,2)+RIGHT(Tietokanta!K100,4)/6000</f>
        <v>60.273833333333336</v>
      </c>
      <c r="E105">
        <f>LEFT(Tietokanta!L100,2)+RIGHT(Tietokanta!L100,4)/6000</f>
        <v>25.088333333333335</v>
      </c>
      <c r="F105" s="128">
        <v>38696</v>
      </c>
      <c r="G105" s="129">
        <v>0.763425925925926</v>
      </c>
      <c r="H105" s="127" t="str">
        <f>Tietokanta!J100</f>
        <v>MALMI</v>
      </c>
    </row>
    <row r="106" spans="1:8" ht="12.75">
      <c r="A106" t="s">
        <v>417</v>
      </c>
      <c r="B106" t="s">
        <v>418</v>
      </c>
      <c r="C106" t="str">
        <f>LEFT(Tietokanta!A101,6)</f>
        <v>HAKKI </v>
      </c>
      <c r="D106">
        <f>LEFT(Tietokanta!K101,2)+RIGHT(Tietokanta!K101,4)/6000</f>
        <v>60.273833333333336</v>
      </c>
      <c r="E106">
        <f>LEFT(Tietokanta!L101,2)+RIGHT(Tietokanta!L101,4)/6000</f>
        <v>25.088333333333335</v>
      </c>
      <c r="F106" s="128">
        <v>38696</v>
      </c>
      <c r="G106" s="129">
        <v>0.763425925925926</v>
      </c>
      <c r="H106" s="127" t="str">
        <f>Tietokanta!J101</f>
        <v>VANTAA</v>
      </c>
    </row>
    <row r="107" spans="1:8" ht="12.75">
      <c r="A107" t="s">
        <v>417</v>
      </c>
      <c r="B107" t="s">
        <v>418</v>
      </c>
      <c r="C107" t="str">
        <f>LEFT(Tietokanta!A102,6)</f>
        <v>HARVA </v>
      </c>
      <c r="D107">
        <f>LEFT(Tietokanta!K102,2)+RIGHT(Tietokanta!K102,4)/6000</f>
        <v>60.39266666666666</v>
      </c>
      <c r="E107">
        <f>LEFT(Tietokanta!L102,2)+RIGHT(Tietokanta!L102,4)/6000</f>
        <v>22.503833333333333</v>
      </c>
      <c r="F107" s="128">
        <v>38696</v>
      </c>
      <c r="G107" s="129">
        <v>0.763425925925926</v>
      </c>
      <c r="H107" s="127" t="str">
        <f>Tietokanta!J102</f>
        <v>TURKU</v>
      </c>
    </row>
    <row r="108" spans="1:8" ht="12.75">
      <c r="A108" t="s">
        <v>417</v>
      </c>
      <c r="B108" t="s">
        <v>418</v>
      </c>
      <c r="C108" t="str">
        <f>LEFT(Tietokanta!A104,6)</f>
        <v>BROON </v>
      </c>
      <c r="D108">
        <f>LEFT(Tietokanta!K104,2)+RIGHT(Tietokanta!K104,4)/6000</f>
        <v>60.21783333333333</v>
      </c>
      <c r="E108">
        <f>LEFT(Tietokanta!L104,2)+RIGHT(Tietokanta!L104,4)/6000</f>
        <v>19.706</v>
      </c>
      <c r="F108" s="128">
        <v>38696</v>
      </c>
      <c r="G108" s="129">
        <v>0.763425925925926</v>
      </c>
      <c r="H108" s="127" t="str">
        <f>Tietokanta!J104</f>
        <v>MAARIANHAMINA</v>
      </c>
    </row>
    <row r="109" spans="1:8" ht="12.75">
      <c r="A109" t="s">
        <v>417</v>
      </c>
      <c r="B109" t="s">
        <v>418</v>
      </c>
      <c r="C109" t="str">
        <f>LEFT(Tietokanta!A105,6)</f>
        <v>ORAVA </v>
      </c>
      <c r="D109">
        <f>LEFT(Tietokanta!K105,2)+RIGHT(Tietokanta!K105,4)/6000</f>
        <v>60.9865</v>
      </c>
      <c r="E109">
        <f>LEFT(Tietokanta!L105,2)+RIGHT(Tietokanta!L105,4)/6000</f>
        <v>26.5585</v>
      </c>
      <c r="F109" s="128">
        <v>38696</v>
      </c>
      <c r="G109" s="129">
        <v>0.763425925925926</v>
      </c>
      <c r="H109" s="127" t="str">
        <f>Tietokanta!J105</f>
        <v>UTTI</v>
      </c>
    </row>
    <row r="110" spans="1:8" ht="12.75">
      <c r="A110" t="s">
        <v>417</v>
      </c>
      <c r="B110" t="s">
        <v>418</v>
      </c>
      <c r="C110" t="str">
        <f>LEFT(Tietokanta!A106,6)</f>
        <v>HAUHO </v>
      </c>
      <c r="D110">
        <f>LEFT(Tietokanta!K106,2)+RIGHT(Tietokanta!K106,4)/6000</f>
        <v>61.18833333333333</v>
      </c>
      <c r="E110">
        <f>LEFT(Tietokanta!L106,2)+RIGHT(Tietokanta!L106,4)/6000</f>
        <v>24.571666666666665</v>
      </c>
      <c r="F110" s="128">
        <v>38696</v>
      </c>
      <c r="G110" s="129">
        <v>0.763425925925926</v>
      </c>
      <c r="H110" s="127">
        <f>Tietokanta!J106</f>
        <v>0</v>
      </c>
    </row>
    <row r="111" spans="1:8" ht="12.75">
      <c r="A111" t="s">
        <v>417</v>
      </c>
      <c r="B111" t="s">
        <v>418</v>
      </c>
      <c r="C111" t="str">
        <f>LEFT(Tietokanta!A107,6)</f>
        <v>HONKO </v>
      </c>
      <c r="D111">
        <f>LEFT(Tietokanta!K107,2)+RIGHT(Tietokanta!K107,4)/6000</f>
        <v>62.571</v>
      </c>
      <c r="E111">
        <f>LEFT(Tietokanta!L107,2)+RIGHT(Tietokanta!L107,4)/6000</f>
        <v>25.671666666666667</v>
      </c>
      <c r="F111" s="128">
        <v>38696</v>
      </c>
      <c r="G111" s="129">
        <v>0.763425925925926</v>
      </c>
      <c r="H111" s="127" t="str">
        <f>Tietokanta!J107</f>
        <v>JYVÄSKYLÄ</v>
      </c>
    </row>
    <row r="112" spans="1:8" ht="12.75">
      <c r="A112" t="s">
        <v>417</v>
      </c>
      <c r="B112" t="s">
        <v>418</v>
      </c>
      <c r="C112" t="e">
        <f>LEFT(Tietokanta!#REF!,6)</f>
        <v>#REF!</v>
      </c>
      <c r="D112" t="e">
        <f>LEFT(Tietokanta!#REF!,2)+RIGHT(Tietokanta!#REF!,4)/6000</f>
        <v>#REF!</v>
      </c>
      <c r="E112" t="e">
        <f>LEFT(Tietokanta!#REF!,2)+RIGHT(Tietokanta!#REF!,4)/6000</f>
        <v>#REF!</v>
      </c>
      <c r="F112" s="128">
        <v>38696</v>
      </c>
      <c r="G112" s="129">
        <v>0.763425925925926</v>
      </c>
      <c r="H112" s="127" t="e">
        <f>Tietokanta!#REF!</f>
        <v>#REF!</v>
      </c>
    </row>
    <row r="113" spans="1:8" ht="12.75">
      <c r="A113" t="s">
        <v>417</v>
      </c>
      <c r="B113" t="s">
        <v>418</v>
      </c>
      <c r="C113" t="str">
        <f>LEFT(Tietokanta!A108,6)</f>
        <v>ASEMA </v>
      </c>
      <c r="D113">
        <f>LEFT(Tietokanta!K108,2)+RIGHT(Tietokanta!K108,4)/6000</f>
        <v>61.8</v>
      </c>
      <c r="E113">
        <f>LEFT(Tietokanta!L108,2)+RIGHT(Tietokanta!L108,4)/6000</f>
        <v>27.305</v>
      </c>
      <c r="F113" s="128">
        <v>38696</v>
      </c>
      <c r="G113" s="129">
        <v>0.763425925925926</v>
      </c>
      <c r="H113" s="127" t="str">
        <f>Tietokanta!J108</f>
        <v>MIKKELI</v>
      </c>
    </row>
    <row r="114" spans="1:8" ht="12.75">
      <c r="A114" t="s">
        <v>417</v>
      </c>
      <c r="B114" t="s">
        <v>418</v>
      </c>
      <c r="C114" t="str">
        <f>LEFT(Tietokanta!A109,6)</f>
        <v>PIHLA </v>
      </c>
      <c r="D114">
        <f>LEFT(Tietokanta!K109,2)+RIGHT(Tietokanta!K109,4)/6000</f>
        <v>61.74033333333333</v>
      </c>
      <c r="E114">
        <f>LEFT(Tietokanta!L109,2)+RIGHT(Tietokanta!L109,4)/6000</f>
        <v>25.237666666666666</v>
      </c>
      <c r="F114" s="128">
        <v>38696</v>
      </c>
      <c r="G114" s="129">
        <v>0.763425925925926</v>
      </c>
      <c r="H114" s="127" t="str">
        <f>Tietokanta!J109</f>
        <v>HALLI</v>
      </c>
    </row>
    <row r="115" spans="1:8" ht="12.75">
      <c r="A115" t="s">
        <v>417</v>
      </c>
      <c r="B115" t="s">
        <v>418</v>
      </c>
      <c r="C115" t="str">
        <f>LEFT(Tietokanta!A110,6)</f>
        <v>TALVI </v>
      </c>
      <c r="D115">
        <f>LEFT(Tietokanta!K110,2)+RIGHT(Tietokanta!K110,4)/6000</f>
        <v>61.7175</v>
      </c>
      <c r="E115">
        <f>LEFT(Tietokanta!L110,2)+RIGHT(Tietokanta!L110,4)/6000</f>
        <v>24.390833333333333</v>
      </c>
      <c r="F115" s="128">
        <v>38696</v>
      </c>
      <c r="G115" s="129">
        <v>0.763425925925926</v>
      </c>
      <c r="H115" s="127" t="str">
        <f>Tietokanta!J110</f>
        <v>HALLI</v>
      </c>
    </row>
    <row r="116" spans="1:8" ht="12.75">
      <c r="A116" t="s">
        <v>417</v>
      </c>
      <c r="B116" t="s">
        <v>418</v>
      </c>
      <c r="C116" t="str">
        <f>LEFT(Tietokanta!A111,6)</f>
        <v>KENUS </v>
      </c>
      <c r="D116">
        <f>LEFT(Tietokanta!K111,2)+RIGHT(Tietokanta!K111,4)/6000</f>
        <v>67.60183333333333</v>
      </c>
      <c r="E116">
        <f>LEFT(Tietokanta!L111,2)+RIGHT(Tietokanta!L111,4)/6000</f>
        <v>24.5725</v>
      </c>
      <c r="F116" s="128">
        <v>38696</v>
      </c>
      <c r="G116" s="129">
        <v>0.763425925925926</v>
      </c>
      <c r="H116" s="127" t="str">
        <f>Tietokanta!J111</f>
        <v>KITTILÄ</v>
      </c>
    </row>
    <row r="117" spans="1:8" ht="12.75">
      <c r="A117" t="s">
        <v>417</v>
      </c>
      <c r="B117" t="s">
        <v>418</v>
      </c>
      <c r="C117" t="str">
        <f>LEFT(Tietokanta!A112,6)</f>
        <v>KULTA </v>
      </c>
      <c r="D117">
        <f>LEFT(Tietokanta!K112,2)+RIGHT(Tietokanta!K112,4)/6000</f>
        <v>61.47266666666667</v>
      </c>
      <c r="E117">
        <f>LEFT(Tietokanta!L112,2)+RIGHT(Tietokanta!L112,4)/6000</f>
        <v>22.359666666666666</v>
      </c>
      <c r="F117" s="128">
        <v>38696</v>
      </c>
      <c r="G117" s="129">
        <v>0.763425925925926</v>
      </c>
      <c r="H117" s="127" t="str">
        <f>Tietokanta!J112</f>
        <v>PORI</v>
      </c>
    </row>
    <row r="118" spans="1:8" ht="12.75">
      <c r="A118" t="s">
        <v>417</v>
      </c>
      <c r="B118" t="s">
        <v>418</v>
      </c>
      <c r="C118" t="str">
        <f>LEFT(Tietokanta!A113,6)</f>
        <v>HANNA </v>
      </c>
      <c r="D118">
        <f>LEFT(Tietokanta!K113,2)+RIGHT(Tietokanta!K113,4)/6000</f>
        <v>61.086666666666666</v>
      </c>
      <c r="E118">
        <f>LEFT(Tietokanta!L113,2)+RIGHT(Tietokanta!L113,4)/6000</f>
        <v>27.705833333333334</v>
      </c>
      <c r="F118" s="128">
        <v>38696</v>
      </c>
      <c r="G118" s="129">
        <v>0.763425925925926</v>
      </c>
      <c r="H118" s="127" t="str">
        <f>Tietokanta!J113</f>
        <v>LAPPEENRANTA</v>
      </c>
    </row>
    <row r="119" spans="1:8" ht="12.75">
      <c r="A119" t="s">
        <v>417</v>
      </c>
      <c r="B119" t="s">
        <v>418</v>
      </c>
      <c r="C119" t="str">
        <f>LEFT(Tietokanta!A114,6)</f>
        <v>ISOJÄR</v>
      </c>
      <c r="D119">
        <f>LEFT(Tietokanta!K114,2)+RIGHT(Tietokanta!K114,4)/6000</f>
        <v>60.555</v>
      </c>
      <c r="E119">
        <f>LEFT(Tietokanta!L114,2)+RIGHT(Tietokanta!L114,4)/6000</f>
        <v>25.366666666666667</v>
      </c>
      <c r="F119" s="128">
        <v>38696</v>
      </c>
      <c r="G119" s="129">
        <v>0.763425925925926</v>
      </c>
      <c r="H119" s="127" t="str">
        <f>Tietokanta!J114</f>
        <v>ISOJÄRVI MÄNTSÄLÄ</v>
      </c>
    </row>
    <row r="120" spans="1:8" ht="12.75">
      <c r="A120" t="s">
        <v>417</v>
      </c>
      <c r="B120" t="s">
        <v>418</v>
      </c>
      <c r="C120" t="str">
        <f>LEFT(Tietokanta!A115,6)</f>
        <v>JOKIP </v>
      </c>
      <c r="D120">
        <f>LEFT(Tietokanta!K115,2)+RIGHT(Tietokanta!K115,4)/6000</f>
        <v>62.55283333333333</v>
      </c>
      <c r="E120">
        <f>LEFT(Tietokanta!L115,2)+RIGHT(Tietokanta!L115,4)/6000</f>
        <v>22.739166666666666</v>
      </c>
      <c r="F120" s="128">
        <v>38696</v>
      </c>
      <c r="G120" s="129">
        <v>0.763425925925926</v>
      </c>
      <c r="H120" s="127" t="str">
        <f>Tietokanta!J115</f>
        <v>SEINÄJOKI</v>
      </c>
    </row>
    <row r="121" spans="1:8" ht="12.75">
      <c r="A121" t="s">
        <v>417</v>
      </c>
      <c r="B121" t="s">
        <v>418</v>
      </c>
      <c r="C121" t="e">
        <f>LEFT(Tietokanta!#REF!,6)</f>
        <v>#REF!</v>
      </c>
      <c r="D121" t="e">
        <f>LEFT(Tietokanta!#REF!,2)+RIGHT(Tietokanta!#REF!,4)/6000</f>
        <v>#REF!</v>
      </c>
      <c r="E121" t="e">
        <f>LEFT(Tietokanta!#REF!,2)+RIGHT(Tietokanta!#REF!,4)/6000</f>
        <v>#REF!</v>
      </c>
      <c r="F121" s="128">
        <v>38696</v>
      </c>
      <c r="G121" s="129">
        <v>0.763425925925926</v>
      </c>
      <c r="H121" s="127" t="e">
        <f>Tietokanta!#REF!</f>
        <v>#REF!</v>
      </c>
    </row>
    <row r="122" spans="1:8" ht="12.75">
      <c r="A122" t="s">
        <v>417</v>
      </c>
      <c r="B122" t="s">
        <v>418</v>
      </c>
      <c r="C122" t="str">
        <f>LEFT(Tietokanta!A116,6)</f>
        <v>KUMPU </v>
      </c>
      <c r="D122">
        <f>LEFT(Tietokanta!K116,2)+RIGHT(Tietokanta!K116,4)/6000</f>
        <v>67.60683333333333</v>
      </c>
      <c r="E122">
        <f>LEFT(Tietokanta!L116,2)+RIGHT(Tietokanta!L116,4)/6000</f>
        <v>25.239</v>
      </c>
      <c r="F122" s="128">
        <v>38696</v>
      </c>
      <c r="G122" s="129">
        <v>0.763425925925926</v>
      </c>
      <c r="H122" s="127" t="str">
        <f>Tietokanta!J116</f>
        <v>KITTILÄ</v>
      </c>
    </row>
    <row r="123" spans="1:8" ht="12.75">
      <c r="A123" t="s">
        <v>417</v>
      </c>
      <c r="B123" t="s">
        <v>418</v>
      </c>
      <c r="C123" t="e">
        <f>LEFT(Tietokanta!#REF!,6)</f>
        <v>#REF!</v>
      </c>
      <c r="D123" t="e">
        <f>LEFT(Tietokanta!#REF!,2)+RIGHT(Tietokanta!#REF!,4)/6000</f>
        <v>#REF!</v>
      </c>
      <c r="E123" t="e">
        <f>LEFT(Tietokanta!#REF!,2)+RIGHT(Tietokanta!#REF!,4)/6000</f>
        <v>#REF!</v>
      </c>
      <c r="F123" s="128">
        <v>38696</v>
      </c>
      <c r="G123" s="129">
        <v>0.763425925925926</v>
      </c>
      <c r="H123" s="127" t="e">
        <f>Tietokanta!#REF!</f>
        <v>#REF!</v>
      </c>
    </row>
    <row r="124" spans="1:8" ht="12.75">
      <c r="A124" t="s">
        <v>417</v>
      </c>
      <c r="B124" t="s">
        <v>418</v>
      </c>
      <c r="C124" t="str">
        <f>LEFT(Tietokanta!A117,6)</f>
        <v>LOUKI </v>
      </c>
      <c r="D124">
        <f>LEFT(Tietokanta!K117,2)+RIGHT(Tietokanta!K117,4)/6000</f>
        <v>67.886</v>
      </c>
      <c r="E124">
        <f>LEFT(Tietokanta!L117,2)+RIGHT(Tietokanta!L117,4)/6000</f>
        <v>25.071</v>
      </c>
      <c r="F124" s="128">
        <v>38696</v>
      </c>
      <c r="G124" s="129">
        <v>0.763425925925926</v>
      </c>
      <c r="H124" s="127" t="str">
        <f>Tietokanta!J117</f>
        <v>KITTILÄ</v>
      </c>
    </row>
    <row r="125" spans="1:8" ht="12.75">
      <c r="A125" t="s">
        <v>417</v>
      </c>
      <c r="B125" t="s">
        <v>418</v>
      </c>
      <c r="C125" t="str">
        <f>LEFT(Tietokanta!A118,6)</f>
        <v>KOKKO </v>
      </c>
      <c r="D125">
        <f>LEFT(Tietokanta!K118,2)+RIGHT(Tietokanta!K118,4)/6000</f>
        <v>63.13483333333333</v>
      </c>
      <c r="E125">
        <f>LEFT(Tietokanta!L118,2)+RIGHT(Tietokanta!L118,4)/6000</f>
        <v>27.9725</v>
      </c>
      <c r="F125" s="128">
        <v>38696</v>
      </c>
      <c r="G125" s="129">
        <v>0.763425925925926</v>
      </c>
      <c r="H125" s="127" t="str">
        <f>Tietokanta!J118</f>
        <v>KUOPIO</v>
      </c>
    </row>
    <row r="126" spans="1:8" ht="12.75">
      <c r="A126" t="s">
        <v>417</v>
      </c>
      <c r="B126" t="s">
        <v>418</v>
      </c>
      <c r="C126" t="str">
        <f>LEFT(Tietokanta!A119,6)</f>
        <v>KANNIS</v>
      </c>
      <c r="D126">
        <f>LEFT(Tietokanta!K119,2)+RIGHT(Tietokanta!K119,4)/6000</f>
        <v>63.20666666666666</v>
      </c>
      <c r="E126">
        <f>LEFT(Tietokanta!L119,2)+RIGHT(Tietokanta!L119,4)/6000</f>
        <v>22.806666666666665</v>
      </c>
      <c r="F126" s="128">
        <v>38696</v>
      </c>
      <c r="G126" s="129">
        <v>0.763425925925926</v>
      </c>
      <c r="H126" s="127">
        <f>Tietokanta!J119</f>
        <v>0</v>
      </c>
    </row>
    <row r="127" spans="1:8" ht="12.75">
      <c r="A127" t="s">
        <v>417</v>
      </c>
      <c r="B127" t="s">
        <v>418</v>
      </c>
      <c r="C127" t="str">
        <f>LEFT(Tietokanta!A120,6)</f>
        <v>MAINU </v>
      </c>
      <c r="D127">
        <f>LEFT(Tietokanta!K120,2)+RIGHT(Tietokanta!K120,4)/6000</f>
        <v>64.13566666666667</v>
      </c>
      <c r="E127">
        <f>LEFT(Tietokanta!L120,2)+RIGHT(Tietokanta!L120,4)/6000</f>
        <v>27.421166666666668</v>
      </c>
      <c r="F127" s="128">
        <v>38696</v>
      </c>
      <c r="G127" s="129">
        <v>0.763425925925926</v>
      </c>
      <c r="H127" s="127" t="str">
        <f>Tietokanta!J120</f>
        <v>KAJAANI</v>
      </c>
    </row>
    <row r="128" spans="1:8" ht="12.75">
      <c r="A128" t="s">
        <v>417</v>
      </c>
      <c r="B128" t="s">
        <v>418</v>
      </c>
      <c r="C128" t="str">
        <f>LEFT(Tietokanta!A121,6)</f>
        <v>LAANI </v>
      </c>
      <c r="D128">
        <f>LEFT(Tietokanta!K121,2)+RIGHT(Tietokanta!K121,4)/6000</f>
        <v>68.435</v>
      </c>
      <c r="E128">
        <f>LEFT(Tietokanta!L121,2)+RIGHT(Tietokanta!L121,4)/6000</f>
        <v>27.4035</v>
      </c>
      <c r="F128" s="128">
        <v>38696</v>
      </c>
      <c r="G128" s="129">
        <v>0.763425925925926</v>
      </c>
      <c r="H128" s="127" t="str">
        <f>Tietokanta!J121</f>
        <v>IVALO</v>
      </c>
    </row>
    <row r="129" spans="1:8" ht="12.75">
      <c r="A129" t="s">
        <v>417</v>
      </c>
      <c r="B129" t="s">
        <v>418</v>
      </c>
      <c r="C129" t="e">
        <f>LEFT(Tietokanta!#REF!,6)</f>
        <v>#REF!</v>
      </c>
      <c r="D129" t="e">
        <f>LEFT(Tietokanta!#REF!,2)+RIGHT(Tietokanta!#REF!,4)/6000</f>
        <v>#REF!</v>
      </c>
      <c r="E129" t="e">
        <f>LEFT(Tietokanta!#REF!,2)+RIGHT(Tietokanta!#REF!,4)/6000</f>
        <v>#REF!</v>
      </c>
      <c r="F129" s="128">
        <v>38696</v>
      </c>
      <c r="G129" s="129">
        <v>0.763425925925926</v>
      </c>
      <c r="H129" s="127" t="e">
        <f>Tietokanta!#REF!</f>
        <v>#REF!</v>
      </c>
    </row>
    <row r="130" spans="1:8" ht="12.75">
      <c r="A130" t="s">
        <v>417</v>
      </c>
      <c r="B130" t="s">
        <v>418</v>
      </c>
      <c r="C130" t="str">
        <f>LEFT(Tietokanta!A122,6)</f>
        <v>MAHLA </v>
      </c>
      <c r="D130">
        <f>LEFT(Tietokanta!K122,2)+RIGHT(Tietokanta!K122,4)/6000</f>
        <v>68.81833333333333</v>
      </c>
      <c r="E130">
        <f>LEFT(Tietokanta!L122,2)+RIGHT(Tietokanta!L122,4)/6000</f>
        <v>27.52466666666667</v>
      </c>
      <c r="F130" s="128">
        <v>38696</v>
      </c>
      <c r="G130" s="129">
        <v>0.763425925925926</v>
      </c>
      <c r="H130" s="127" t="str">
        <f>Tietokanta!J122</f>
        <v>IVALO</v>
      </c>
    </row>
    <row r="131" spans="1:8" ht="12.75">
      <c r="A131" t="s">
        <v>417</v>
      </c>
      <c r="B131" t="s">
        <v>418</v>
      </c>
      <c r="C131" t="str">
        <f>LEFT(Tietokanta!A123,6)</f>
        <v>KONTI </v>
      </c>
      <c r="D131">
        <f>LEFT(Tietokanta!K123,2)+RIGHT(Tietokanta!K123,4)/6000</f>
        <v>62.75233333333333</v>
      </c>
      <c r="E131">
        <f>LEFT(Tietokanta!L123,2)+RIGHT(Tietokanta!L123,4)/6000</f>
        <v>29.842833333333335</v>
      </c>
      <c r="F131" s="128">
        <v>38696</v>
      </c>
      <c r="G131" s="129">
        <v>0.763425925925926</v>
      </c>
      <c r="H131" s="127" t="str">
        <f>Tietokanta!J123</f>
        <v>JOENSUU</v>
      </c>
    </row>
    <row r="132" spans="1:8" ht="12.75">
      <c r="A132" t="s">
        <v>417</v>
      </c>
      <c r="B132" t="s">
        <v>418</v>
      </c>
      <c r="C132" t="e">
        <f>LEFT(Tietokanta!#REF!,6)</f>
        <v>#REF!</v>
      </c>
      <c r="D132" t="e">
        <f>LEFT(Tietokanta!#REF!,2)+RIGHT(Tietokanta!#REF!,4)/6000</f>
        <v>#REF!</v>
      </c>
      <c r="E132" t="e">
        <f>LEFT(Tietokanta!#REF!,2)+RIGHT(Tietokanta!#REF!,4)/6000</f>
        <v>#REF!</v>
      </c>
      <c r="F132" s="128">
        <v>38696</v>
      </c>
      <c r="G132" s="129">
        <v>0.763425925925926</v>
      </c>
      <c r="H132" s="127" t="e">
        <f>Tietokanta!#REF!</f>
        <v>#REF!</v>
      </c>
    </row>
    <row r="133" spans="1:8" ht="12.75">
      <c r="A133" t="s">
        <v>417</v>
      </c>
      <c r="B133" t="s">
        <v>418</v>
      </c>
      <c r="C133" t="e">
        <f>LEFT(Tietokanta!#REF!,6)</f>
        <v>#REF!</v>
      </c>
      <c r="D133" t="e">
        <f>LEFT(Tietokanta!#REF!,2)+RIGHT(Tietokanta!#REF!,4)/6000</f>
        <v>#REF!</v>
      </c>
      <c r="E133" t="e">
        <f>LEFT(Tietokanta!#REF!,2)+RIGHT(Tietokanta!#REF!,4)/6000</f>
        <v>#REF!</v>
      </c>
      <c r="F133" s="128">
        <v>38696</v>
      </c>
      <c r="G133" s="129">
        <v>0.763425925925926</v>
      </c>
      <c r="H133" s="127" t="e">
        <f>Tietokanta!#REF!</f>
        <v>#REF!</v>
      </c>
    </row>
    <row r="134" spans="1:8" ht="12.75">
      <c r="A134" t="s">
        <v>417</v>
      </c>
      <c r="B134" t="s">
        <v>418</v>
      </c>
      <c r="C134" t="str">
        <f>LEFT(Tietokanta!A124,6)</f>
        <v>LAIVO </v>
      </c>
      <c r="D134">
        <f>LEFT(Tietokanta!K124,2)+RIGHT(Tietokanta!K124,4)/6000</f>
        <v>62.973</v>
      </c>
      <c r="E134">
        <f>LEFT(Tietokanta!L124,2)+RIGHT(Tietokanta!L124,4)/6000</f>
        <v>27.523</v>
      </c>
      <c r="F134" s="128">
        <v>38696</v>
      </c>
      <c r="G134" s="129">
        <v>0.763425925925926</v>
      </c>
      <c r="H134" s="127" t="str">
        <f>Tietokanta!J124</f>
        <v>KUOPIO</v>
      </c>
    </row>
    <row r="135" spans="1:8" ht="12.75">
      <c r="A135" t="s">
        <v>417</v>
      </c>
      <c r="B135" t="s">
        <v>418</v>
      </c>
      <c r="C135" t="str">
        <f>LEFT(Tietokanta!A125,6)</f>
        <v>KESAG</v>
      </c>
      <c r="D135">
        <f>LEFT(Tietokanta!K125,2)+RIGHT(Tietokanta!K125,4)/6000</f>
        <v>69.40966666666667</v>
      </c>
      <c r="E135">
        <f>LEFT(Tietokanta!L125,2)+RIGHT(Tietokanta!L125,4)/6000</f>
        <v>25.818833333333334</v>
      </c>
      <c r="F135" s="128">
        <v>38696</v>
      </c>
      <c r="G135" s="129">
        <v>0.763425925925926</v>
      </c>
      <c r="H135" s="127" t="str">
        <f>Tietokanta!J125</f>
        <v>RAJANYLITYS</v>
      </c>
    </row>
    <row r="136" spans="1:8" ht="12.75">
      <c r="A136" t="s">
        <v>417</v>
      </c>
      <c r="B136" t="s">
        <v>418</v>
      </c>
      <c r="C136" t="str">
        <f>LEFT(Tietokanta!A128,6)</f>
        <v>AVELA </v>
      </c>
      <c r="D136">
        <f>LEFT(Tietokanta!K128,2)+RIGHT(Tietokanta!K128,4)/6000</f>
        <v>65.90033333333334</v>
      </c>
      <c r="E136">
        <f>LEFT(Tietokanta!L128,2)+RIGHT(Tietokanta!L128,4)/6000</f>
        <v>29.017666666666667</v>
      </c>
      <c r="F136" s="128">
        <v>38696</v>
      </c>
      <c r="G136" s="129">
        <v>0.763425925925926</v>
      </c>
      <c r="H136" s="127" t="str">
        <f>Tietokanta!J128</f>
        <v>KUUSAMO</v>
      </c>
    </row>
    <row r="137" spans="1:8" ht="12.75">
      <c r="A137" t="s">
        <v>417</v>
      </c>
      <c r="B137" t="s">
        <v>418</v>
      </c>
      <c r="C137" t="str">
        <f>LEFT(Tietokanta!A129,6)</f>
        <v>KOLIS </v>
      </c>
      <c r="D137">
        <f>LEFT(Tietokanta!K129,2)+RIGHT(Tietokanta!K129,4)/6000</f>
        <v>60.45066666666666</v>
      </c>
      <c r="E137">
        <f>LEFT(Tietokanta!L129,2)+RIGHT(Tietokanta!L129,4)/6000</f>
        <v>25.017833333333332</v>
      </c>
      <c r="F137" s="128">
        <v>38696</v>
      </c>
      <c r="G137" s="129">
        <v>0.763425925925926</v>
      </c>
      <c r="H137" s="127" t="str">
        <f>Tietokanta!J129</f>
        <v>VANTAA</v>
      </c>
    </row>
    <row r="138" spans="1:8" ht="12.75">
      <c r="A138" t="s">
        <v>417</v>
      </c>
      <c r="B138" t="s">
        <v>418</v>
      </c>
      <c r="C138" t="str">
        <f>LEFT(Tietokanta!A130,6)</f>
        <v>KALVI </v>
      </c>
      <c r="D138">
        <f>LEFT(Tietokanta!K130,2)+RIGHT(Tietokanta!K130,4)/6000</f>
        <v>63.867666666666665</v>
      </c>
      <c r="E138">
        <f>LEFT(Tietokanta!L130,2)+RIGHT(Tietokanta!L130,4)/6000</f>
        <v>23.48966666666667</v>
      </c>
      <c r="F138" s="128">
        <v>38696</v>
      </c>
      <c r="G138" s="129">
        <v>0.763425925925926</v>
      </c>
      <c r="H138" s="127" t="str">
        <f>Tietokanta!J130</f>
        <v>KOKKOLA-PIETARSA</v>
      </c>
    </row>
    <row r="139" spans="1:8" ht="12.75">
      <c r="A139" t="s">
        <v>417</v>
      </c>
      <c r="B139" t="s">
        <v>418</v>
      </c>
      <c r="C139" t="str">
        <f>LEFT(Tietokanta!A131,6)</f>
        <v>KOLUP</v>
      </c>
      <c r="D139">
        <f>LEFT(Tietokanta!K131,2)+RIGHT(Tietokanta!K131,4)/6000</f>
        <v>67.326</v>
      </c>
      <c r="E139">
        <f>LEFT(Tietokanta!L131,2)+RIGHT(Tietokanta!L131,4)/6000</f>
        <v>23.766666666666666</v>
      </c>
      <c r="F139" s="128">
        <v>38696</v>
      </c>
      <c r="G139" s="129">
        <v>0.763425925925926</v>
      </c>
      <c r="H139" s="127" t="str">
        <f>Tietokanta!J131</f>
        <v>RAJANYLITYS</v>
      </c>
    </row>
    <row r="140" spans="1:8" ht="12.75">
      <c r="A140" t="s">
        <v>417</v>
      </c>
      <c r="B140" t="s">
        <v>418</v>
      </c>
      <c r="C140" t="str">
        <f>LEFT(Tietokanta!A133,6)</f>
        <v>APAJA </v>
      </c>
      <c r="D140">
        <f>LEFT(Tietokanta!K133,2)+RIGHT(Tietokanta!K133,4)/6000</f>
        <v>62.01766666666666</v>
      </c>
      <c r="E140">
        <f>LEFT(Tietokanta!L133,2)+RIGHT(Tietokanta!L133,4)/6000</f>
        <v>28.574</v>
      </c>
      <c r="F140" s="128">
        <v>38696</v>
      </c>
      <c r="G140" s="129">
        <v>0.763425925925926</v>
      </c>
      <c r="H140" s="127" t="str">
        <f>Tietokanta!J133</f>
        <v>SAVONLINNA</v>
      </c>
    </row>
    <row r="141" spans="1:8" ht="12.75">
      <c r="A141" t="s">
        <v>417</v>
      </c>
      <c r="B141" t="s">
        <v>418</v>
      </c>
      <c r="C141" t="str">
        <f>LEFT(Tietokanta!A134,6)</f>
        <v>KOTI</v>
      </c>
      <c r="D141">
        <f>LEFT(Tietokanta!K134,2)+RIGHT(Tietokanta!K134,4)/6000</f>
        <v>60.925</v>
      </c>
      <c r="E141">
        <f>LEFT(Tietokanta!L134,2)+RIGHT(Tietokanta!L134,4)/6000</f>
        <v>26.001</v>
      </c>
      <c r="F141" s="128">
        <v>38696</v>
      </c>
      <c r="G141" s="129">
        <v>0.763425925925926</v>
      </c>
      <c r="H141" s="127" t="str">
        <f>Tietokanta!J134</f>
        <v>KOTI</v>
      </c>
    </row>
    <row r="142" spans="1:8" ht="12.75">
      <c r="A142" t="s">
        <v>417</v>
      </c>
      <c r="B142" t="s">
        <v>418</v>
      </c>
      <c r="C142" t="str">
        <f>LEFT(Tietokanta!A135,6)</f>
        <v>KUGIT</v>
      </c>
      <c r="D142">
        <f>LEFT(Tietokanta!K135,2)+RIGHT(Tietokanta!K135,4)/6000</f>
        <v>68.43866666666666</v>
      </c>
      <c r="E142">
        <f>LEFT(Tietokanta!L135,2)+RIGHT(Tietokanta!L135,4)/6000</f>
        <v>22.4915</v>
      </c>
      <c r="F142" s="128">
        <v>38696</v>
      </c>
      <c r="G142" s="129">
        <v>0.763425925925926</v>
      </c>
      <c r="H142" s="127" t="str">
        <f>Tietokanta!J135</f>
        <v>RAJANYLITYS</v>
      </c>
    </row>
    <row r="143" spans="1:8" ht="12.75">
      <c r="A143" t="s">
        <v>417</v>
      </c>
      <c r="B143" t="s">
        <v>418</v>
      </c>
      <c r="C143" t="str">
        <f>LEFT(Tietokanta!A136,6)</f>
        <v>PALLO </v>
      </c>
      <c r="D143">
        <f>LEFT(Tietokanta!K136,2)+RIGHT(Tietokanta!K136,4)/6000</f>
        <v>61.584833333333336</v>
      </c>
      <c r="E143">
        <f>LEFT(Tietokanta!L136,2)+RIGHT(Tietokanta!L136,4)/6000</f>
        <v>23.751833333333334</v>
      </c>
      <c r="F143" s="128">
        <v>38696</v>
      </c>
      <c r="G143" s="129">
        <v>0.763425925925926</v>
      </c>
      <c r="H143" s="127" t="str">
        <f>Tietokanta!J136</f>
        <v>PIRKKALA</v>
      </c>
    </row>
    <row r="144" spans="1:8" ht="12.75">
      <c r="A144" t="s">
        <v>417</v>
      </c>
      <c r="B144" t="s">
        <v>418</v>
      </c>
      <c r="C144" t="str">
        <f>LEFT(Tietokanta!A138,6)</f>
        <v>KITKA </v>
      </c>
      <c r="D144">
        <f>LEFT(Tietokanta!K138,2)+RIGHT(Tietokanta!K138,4)/6000</f>
        <v>66.22216666666667</v>
      </c>
      <c r="E144">
        <f>LEFT(Tietokanta!L138,2)+RIGHT(Tietokanta!L138,4)/6000</f>
        <v>29.041833333333333</v>
      </c>
      <c r="F144" s="128">
        <v>38696</v>
      </c>
      <c r="G144" s="129">
        <v>0.763425925925926</v>
      </c>
      <c r="H144" s="127" t="str">
        <f>Tietokanta!J138</f>
        <v>KUUSAMO</v>
      </c>
    </row>
    <row r="145" spans="1:8" ht="12.75">
      <c r="A145" t="s">
        <v>417</v>
      </c>
      <c r="B145" t="s">
        <v>418</v>
      </c>
      <c r="C145" t="str">
        <f>LEFT(Tietokanta!A139,6)</f>
        <v>KOTTA </v>
      </c>
      <c r="D145">
        <f>LEFT(Tietokanta!K139,2)+RIGHT(Tietokanta!K139,4)/6000</f>
        <v>62.45133333333333</v>
      </c>
      <c r="E145">
        <f>LEFT(Tietokanta!L139,2)+RIGHT(Tietokanta!L139,4)/6000</f>
        <v>25.253666666666668</v>
      </c>
      <c r="F145" s="128">
        <v>38696</v>
      </c>
      <c r="G145" s="129">
        <v>0.763425925925926</v>
      </c>
      <c r="H145" s="127" t="str">
        <f>Tietokanta!J139</f>
        <v>JYVÄSKYLÄ</v>
      </c>
    </row>
    <row r="146" spans="1:8" ht="12.75">
      <c r="A146" t="s">
        <v>417</v>
      </c>
      <c r="B146" t="s">
        <v>418</v>
      </c>
      <c r="C146" t="str">
        <f>LEFT(Tietokanta!A140,6)</f>
        <v>KUOHU </v>
      </c>
      <c r="D146">
        <f>LEFT(Tietokanta!K140,2)+RIGHT(Tietokanta!K140,4)/6000</f>
        <v>62.291333333333334</v>
      </c>
      <c r="E146">
        <f>LEFT(Tietokanta!L140,2)+RIGHT(Tietokanta!L140,4)/6000</f>
        <v>25.5195</v>
      </c>
      <c r="F146" s="128">
        <v>38696</v>
      </c>
      <c r="G146" s="129">
        <v>0.763425925925926</v>
      </c>
      <c r="H146" s="127" t="str">
        <f>Tietokanta!J140</f>
        <v>JYVÄSKYLÄ</v>
      </c>
    </row>
    <row r="147" spans="1:8" ht="12.75">
      <c r="A147" t="s">
        <v>417</v>
      </c>
      <c r="B147" t="s">
        <v>418</v>
      </c>
      <c r="C147" t="e">
        <f>LEFT(Tietokanta!#REF!,6)</f>
        <v>#REF!</v>
      </c>
      <c r="D147" t="e">
        <f>LEFT(Tietokanta!#REF!,2)+RIGHT(Tietokanta!#REF!,4)/6000</f>
        <v>#REF!</v>
      </c>
      <c r="E147" t="e">
        <f>LEFT(Tietokanta!#REF!,2)+RIGHT(Tietokanta!#REF!,4)/6000</f>
        <v>#REF!</v>
      </c>
      <c r="F147" s="128">
        <v>38696</v>
      </c>
      <c r="G147" s="129">
        <v>0.763425925925926</v>
      </c>
      <c r="H147" s="127" t="e">
        <f>Tietokanta!#REF!</f>
        <v>#REF!</v>
      </c>
    </row>
    <row r="148" spans="1:8" ht="12.75">
      <c r="A148" t="s">
        <v>417</v>
      </c>
      <c r="B148" t="s">
        <v>418</v>
      </c>
      <c r="C148" t="str">
        <f>LEFT(Tietokanta!A141,6)</f>
        <v>PEDER </v>
      </c>
      <c r="D148">
        <f>LEFT(Tietokanta!K141,2)+RIGHT(Tietokanta!K141,4)/6000</f>
        <v>63.591</v>
      </c>
      <c r="E148">
        <f>LEFT(Tietokanta!L141,2)+RIGHT(Tietokanta!L141,4)/6000</f>
        <v>22.804</v>
      </c>
      <c r="F148" s="128">
        <v>38696</v>
      </c>
      <c r="G148" s="129">
        <v>0.763425925925926</v>
      </c>
      <c r="H148" s="127" t="str">
        <f>Tietokanta!J141</f>
        <v>KOKKOLA-PIETARSA</v>
      </c>
    </row>
    <row r="149" spans="1:8" ht="12.75">
      <c r="A149" t="s">
        <v>417</v>
      </c>
      <c r="B149" t="s">
        <v>418</v>
      </c>
      <c r="C149" t="str">
        <f>LEFT(Tietokanta!A142,6)</f>
        <v>LAHTIs</v>
      </c>
      <c r="D149">
        <f>LEFT(Tietokanta!K142,2)+RIGHT(Tietokanta!K142,4)/6000</f>
        <v>61</v>
      </c>
      <c r="E149">
        <f>LEFT(Tietokanta!L142,2)+RIGHT(Tietokanta!L142,4)/6000</f>
        <v>25.666666666666668</v>
      </c>
      <c r="F149" s="128">
        <v>38696</v>
      </c>
      <c r="G149" s="129">
        <v>0.763425925925926</v>
      </c>
      <c r="H149" s="127" t="str">
        <f>Tietokanta!J142</f>
        <v>LAHTI kaupunki</v>
      </c>
    </row>
    <row r="150" spans="1:8" ht="12.75">
      <c r="A150" t="s">
        <v>417</v>
      </c>
      <c r="B150" t="s">
        <v>418</v>
      </c>
      <c r="C150" t="str">
        <f>LEFT(Tietokanta!A143,6)</f>
        <v>MINNE </v>
      </c>
      <c r="D150">
        <f>LEFT(Tietokanta!K143,2)+RIGHT(Tietokanta!K143,4)/6000</f>
        <v>62.941</v>
      </c>
      <c r="E150">
        <f>LEFT(Tietokanta!L143,2)+RIGHT(Tietokanta!L143,4)/6000</f>
        <v>21.5405</v>
      </c>
      <c r="F150" s="128">
        <v>38696</v>
      </c>
      <c r="G150" s="129">
        <v>0.763425925925926</v>
      </c>
      <c r="H150" s="127" t="str">
        <f>Tietokanta!J143</f>
        <v>VAASA</v>
      </c>
    </row>
    <row r="151" spans="1:8" ht="12.75">
      <c r="A151" t="s">
        <v>417</v>
      </c>
      <c r="B151" t="s">
        <v>418</v>
      </c>
      <c r="C151" t="str">
        <f>LEFT(Tietokanta!A144,6)</f>
        <v>VILPU </v>
      </c>
      <c r="D151">
        <f>LEFT(Tietokanta!K144,2)+RIGHT(Tietokanta!K144,4)/6000</f>
        <v>61.959833333333336</v>
      </c>
      <c r="E151">
        <f>LEFT(Tietokanta!L144,2)+RIGHT(Tietokanta!L144,4)/6000</f>
        <v>24.353666666666665</v>
      </c>
      <c r="F151" s="128">
        <v>38696</v>
      </c>
      <c r="G151" s="129">
        <v>0.763425925925926</v>
      </c>
      <c r="H151" s="127" t="str">
        <f>Tietokanta!J144</f>
        <v>HALLI</v>
      </c>
    </row>
    <row r="152" spans="1:8" ht="12.75">
      <c r="A152" t="s">
        <v>417</v>
      </c>
      <c r="B152" t="s">
        <v>418</v>
      </c>
      <c r="C152" t="str">
        <f>LEFT(Tietokanta!A145,6)</f>
        <v>PRAST </v>
      </c>
      <c r="D152">
        <f>LEFT(Tietokanta!K145,2)+RIGHT(Tietokanta!K145,4)/6000</f>
        <v>60.20583333333333</v>
      </c>
      <c r="E152">
        <f>LEFT(Tietokanta!L145,2)+RIGHT(Tietokanta!L145,4)/6000</f>
        <v>20.241666666666667</v>
      </c>
      <c r="F152" s="128">
        <v>38696</v>
      </c>
      <c r="G152" s="129">
        <v>0.763425925925926</v>
      </c>
      <c r="H152" s="127" t="str">
        <f>Tietokanta!J145</f>
        <v>MAARIANHAMINA</v>
      </c>
    </row>
    <row r="153" spans="1:8" ht="12.75">
      <c r="A153" t="s">
        <v>417</v>
      </c>
      <c r="B153" t="s">
        <v>418</v>
      </c>
      <c r="C153" t="str">
        <f>LEFT(Tietokanta!A146,6)</f>
        <v>PURSO </v>
      </c>
      <c r="D153">
        <f>LEFT(Tietokanta!K146,2)+RIGHT(Tietokanta!K146,4)/6000</f>
        <v>61.48616666666667</v>
      </c>
      <c r="E153">
        <f>LEFT(Tietokanta!L146,2)+RIGHT(Tietokanta!L146,4)/6000</f>
        <v>23.322333333333333</v>
      </c>
      <c r="F153" s="128">
        <v>38696</v>
      </c>
      <c r="G153" s="129">
        <v>0.763425925925926</v>
      </c>
      <c r="H153" s="127" t="str">
        <f>Tietokanta!J146</f>
        <v>PIRKKALA</v>
      </c>
    </row>
    <row r="154" spans="1:8" ht="12.75">
      <c r="A154" t="s">
        <v>417</v>
      </c>
      <c r="B154" t="s">
        <v>418</v>
      </c>
      <c r="C154" t="str">
        <f>LEFT(Tietokanta!A147,6)</f>
        <v>GALDO </v>
      </c>
      <c r="D154">
        <f>LEFT(Tietokanta!K147,2)+RIGHT(Tietokanta!K147,4)/6000</f>
        <v>68.5175</v>
      </c>
      <c r="E154">
        <f>LEFT(Tietokanta!L147,2)+RIGHT(Tietokanta!L147,4)/6000</f>
        <v>23.303166666666666</v>
      </c>
      <c r="F154" s="128">
        <v>38696</v>
      </c>
      <c r="G154" s="129">
        <v>0.763425925925926</v>
      </c>
      <c r="H154" s="127" t="str">
        <f>Tietokanta!J147</f>
        <v>ENONTEKIÖ</v>
      </c>
    </row>
    <row r="155" spans="1:8" ht="12.75">
      <c r="A155" t="s">
        <v>417</v>
      </c>
      <c r="B155" t="s">
        <v>418</v>
      </c>
      <c r="C155" t="str">
        <f>LEFT(Tietokanta!A148,6)</f>
        <v>LILJA </v>
      </c>
      <c r="D155">
        <f>LEFT(Tietokanta!K148,2)+RIGHT(Tietokanta!K148,4)/6000</f>
        <v>60.321</v>
      </c>
      <c r="E155">
        <f>LEFT(Tietokanta!L148,2)+RIGHT(Tietokanta!L148,4)/6000</f>
        <v>25.205166666666667</v>
      </c>
      <c r="F155" s="128">
        <v>38696</v>
      </c>
      <c r="G155" s="129">
        <v>0.763425925925926</v>
      </c>
      <c r="H155" s="127" t="str">
        <f>Tietokanta!J148</f>
        <v>VANTAA</v>
      </c>
    </row>
    <row r="156" spans="1:8" ht="12.75">
      <c r="A156" t="s">
        <v>417</v>
      </c>
      <c r="B156" t="s">
        <v>418</v>
      </c>
      <c r="C156" t="str">
        <f>LEFT(Tietokanta!A149,6)</f>
        <v>HAURU </v>
      </c>
      <c r="D156">
        <f>LEFT(Tietokanta!K149,2)+RIGHT(Tietokanta!K149,4)/6000</f>
        <v>64.73433333333334</v>
      </c>
      <c r="E156">
        <f>LEFT(Tietokanta!L149,2)+RIGHT(Tietokanta!L149,4)/6000</f>
        <v>25.542166666666667</v>
      </c>
      <c r="F156" s="128">
        <v>38696</v>
      </c>
      <c r="G156" s="129">
        <v>0.763425925925926</v>
      </c>
      <c r="H156" s="127" t="str">
        <f>Tietokanta!J149</f>
        <v>OULU</v>
      </c>
    </row>
    <row r="157" spans="1:8" ht="12.75">
      <c r="A157" t="s">
        <v>417</v>
      </c>
      <c r="B157" t="s">
        <v>418</v>
      </c>
      <c r="C157" t="str">
        <f>LEFT(Tietokanta!A150,6)</f>
        <v>LINTU </v>
      </c>
      <c r="D157">
        <f>LEFT(Tietokanta!K150,2)+RIGHT(Tietokanta!K150,4)/6000</f>
        <v>60.3745</v>
      </c>
      <c r="E157">
        <f>LEFT(Tietokanta!L150,2)+RIGHT(Tietokanta!L150,4)/6000</f>
        <v>24.684</v>
      </c>
      <c r="F157" s="128">
        <v>38696</v>
      </c>
      <c r="G157" s="129">
        <v>0.763425925925926</v>
      </c>
      <c r="H157" s="127" t="str">
        <f>Tietokanta!J150</f>
        <v>VANTAA</v>
      </c>
    </row>
    <row r="158" spans="1:8" ht="12.75">
      <c r="A158" t="s">
        <v>417</v>
      </c>
      <c r="B158" t="s">
        <v>418</v>
      </c>
      <c r="C158" t="str">
        <f>LEFT(Tietokanta!A151,6)</f>
        <v>LIPPI </v>
      </c>
      <c r="D158">
        <f>LEFT(Tietokanta!K151,2)+RIGHT(Tietokanta!K151,4)/6000</f>
        <v>62.5535</v>
      </c>
      <c r="E158">
        <f>LEFT(Tietokanta!L151,2)+RIGHT(Tietokanta!L151,4)/6000</f>
        <v>29.451</v>
      </c>
      <c r="F158" s="128">
        <v>38696</v>
      </c>
      <c r="G158" s="129">
        <v>0.763425925925926</v>
      </c>
      <c r="H158" s="127" t="str">
        <f>Tietokanta!J151</f>
        <v>JOENSUU</v>
      </c>
    </row>
    <row r="159" spans="1:8" ht="12.75">
      <c r="A159" t="s">
        <v>417</v>
      </c>
      <c r="B159" t="s">
        <v>418</v>
      </c>
      <c r="C159" t="str">
        <f>LEFT(Tietokanta!A152,6)</f>
        <v>LIRVO</v>
      </c>
      <c r="D159">
        <f>LEFT(Tietokanta!K152,2)+RIGHT(Tietokanta!K152,4)/6000</f>
        <v>66.31733333333334</v>
      </c>
      <c r="E159">
        <f>LEFT(Tietokanta!L152,2)+RIGHT(Tietokanta!L152,4)/6000</f>
        <v>23.652833333333334</v>
      </c>
      <c r="F159" s="128">
        <v>38696</v>
      </c>
      <c r="G159" s="129">
        <v>0.763425925925926</v>
      </c>
      <c r="H159" s="127" t="str">
        <f>Tietokanta!J152</f>
        <v>RAJANYLITYS</v>
      </c>
    </row>
    <row r="160" spans="1:8" ht="12.75">
      <c r="A160" t="s">
        <v>417</v>
      </c>
      <c r="B160" t="s">
        <v>418</v>
      </c>
      <c r="C160" t="str">
        <f>LEFT(Tietokanta!A153,6)</f>
        <v>KAITO </v>
      </c>
      <c r="D160">
        <f>LEFT(Tietokanta!K153,2)+RIGHT(Tietokanta!K153,4)/6000</f>
        <v>61.208</v>
      </c>
      <c r="E160">
        <f>LEFT(Tietokanta!L153,2)+RIGHT(Tietokanta!L153,4)/6000</f>
        <v>28.419333333333334</v>
      </c>
      <c r="F160" s="128">
        <v>38696</v>
      </c>
      <c r="G160" s="129">
        <v>0.763425925925926</v>
      </c>
      <c r="H160" s="127" t="str">
        <f>Tietokanta!J153</f>
        <v>LAPPEENRANTA</v>
      </c>
    </row>
    <row r="161" spans="1:8" ht="12.75">
      <c r="A161" t="s">
        <v>417</v>
      </c>
      <c r="B161" t="s">
        <v>418</v>
      </c>
      <c r="C161" t="str">
        <f>LEFT(Tietokanta!A154,6)</f>
        <v>PILPA </v>
      </c>
      <c r="D161">
        <f>LEFT(Tietokanta!K154,2)+RIGHT(Tietokanta!K154,4)/6000</f>
        <v>64.942</v>
      </c>
      <c r="E161">
        <f>LEFT(Tietokanta!L154,2)+RIGHT(Tietokanta!L154,4)/6000</f>
        <v>25.674</v>
      </c>
      <c r="F161" s="128">
        <v>38696</v>
      </c>
      <c r="G161" s="129">
        <v>0.763425925925926</v>
      </c>
      <c r="H161" s="127" t="str">
        <f>Tietokanta!J154</f>
        <v>OULU</v>
      </c>
    </row>
    <row r="162" spans="1:8" ht="12.75">
      <c r="A162" t="s">
        <v>417</v>
      </c>
      <c r="B162" t="s">
        <v>418</v>
      </c>
      <c r="C162" t="e">
        <f>LEFT(Tietokanta!#REF!,6)</f>
        <v>#REF!</v>
      </c>
      <c r="D162" t="e">
        <f>LEFT(Tietokanta!#REF!,2)+RIGHT(Tietokanta!#REF!,4)/6000</f>
        <v>#REF!</v>
      </c>
      <c r="E162" t="e">
        <f>LEFT(Tietokanta!#REF!,2)+RIGHT(Tietokanta!#REF!,4)/6000</f>
        <v>#REF!</v>
      </c>
      <c r="F162" s="128">
        <v>38696</v>
      </c>
      <c r="G162" s="129">
        <v>0.763425925925926</v>
      </c>
      <c r="H162" s="127" t="e">
        <f>Tietokanta!#REF!</f>
        <v>#REF!</v>
      </c>
    </row>
    <row r="163" spans="1:8" ht="12.75">
      <c r="A163" t="s">
        <v>417</v>
      </c>
      <c r="B163" t="s">
        <v>418</v>
      </c>
      <c r="C163" t="str">
        <f>LEFT(Tietokanta!A155,6)</f>
        <v>KOSSU </v>
      </c>
      <c r="D163">
        <f>LEFT(Tietokanta!K155,2)+RIGHT(Tietokanta!K155,4)/6000</f>
        <v>62.685833333333335</v>
      </c>
      <c r="E163">
        <f>LEFT(Tietokanta!L155,2)+RIGHT(Tietokanta!L155,4)/6000</f>
        <v>22.45916666666667</v>
      </c>
      <c r="F163" s="128">
        <v>38696</v>
      </c>
      <c r="G163" s="129">
        <v>0.763425925925926</v>
      </c>
      <c r="H163" s="127" t="str">
        <f>Tietokanta!J155</f>
        <v>SEINÄJOKI</v>
      </c>
    </row>
    <row r="164" spans="1:8" ht="12.75">
      <c r="A164" t="s">
        <v>417</v>
      </c>
      <c r="B164" t="s">
        <v>418</v>
      </c>
      <c r="C164" t="str">
        <f>LEFT(Tietokanta!A156,6)</f>
        <v>SUNDI </v>
      </c>
      <c r="D164">
        <f>LEFT(Tietokanta!K156,2)+RIGHT(Tietokanta!K156,4)/6000</f>
        <v>63.80466666666667</v>
      </c>
      <c r="E164">
        <f>LEFT(Tietokanta!L156,2)+RIGHT(Tietokanta!L156,4)/6000</f>
        <v>22.89</v>
      </c>
      <c r="F164" s="128">
        <v>38696</v>
      </c>
      <c r="G164" s="129">
        <v>0.763425925925926</v>
      </c>
      <c r="H164" s="127" t="str">
        <f>Tietokanta!J156</f>
        <v>KOKKOLA-PIETARSA</v>
      </c>
    </row>
    <row r="165" spans="1:8" ht="12.75">
      <c r="A165" t="s">
        <v>417</v>
      </c>
      <c r="B165" t="s">
        <v>418</v>
      </c>
      <c r="C165" t="str">
        <f>LEFT(Tietokanta!A157,6)</f>
        <v>RAUTU </v>
      </c>
      <c r="D165">
        <f>LEFT(Tietokanta!K157,2)+RIGHT(Tietokanta!K157,4)/6000</f>
        <v>61.355666666666664</v>
      </c>
      <c r="E165">
        <f>LEFT(Tietokanta!L157,2)+RIGHT(Tietokanta!L157,4)/6000</f>
        <v>23.643166666666666</v>
      </c>
      <c r="F165" s="128">
        <v>38696</v>
      </c>
      <c r="G165" s="129">
        <v>0.763425925925926</v>
      </c>
      <c r="H165" s="127" t="str">
        <f>Tietokanta!J157</f>
        <v>PORI</v>
      </c>
    </row>
    <row r="166" spans="1:8" ht="12.75">
      <c r="A166" t="s">
        <v>417</v>
      </c>
      <c r="B166" t="s">
        <v>418</v>
      </c>
      <c r="C166" t="str">
        <f>LEFT(Tietokanta!A158,6)</f>
        <v>TERVA </v>
      </c>
      <c r="D166">
        <f>LEFT(Tietokanta!K158,2)+RIGHT(Tietokanta!K158,4)/6000</f>
        <v>62.98883333333333</v>
      </c>
      <c r="E166">
        <f>LEFT(Tietokanta!L158,2)+RIGHT(Tietokanta!L158,4)/6000</f>
        <v>22.085166666666666</v>
      </c>
      <c r="F166" s="128">
        <v>38696</v>
      </c>
      <c r="G166" s="129">
        <v>0.763425925925926</v>
      </c>
      <c r="H166" s="127" t="str">
        <f>Tietokanta!J158</f>
        <v>VAASA</v>
      </c>
    </row>
    <row r="167" spans="1:8" ht="12.75">
      <c r="A167" t="s">
        <v>417</v>
      </c>
      <c r="B167" t="s">
        <v>418</v>
      </c>
      <c r="C167" t="str">
        <f>LEFT(Tietokanta!A159,6)</f>
        <v>VASSO </v>
      </c>
      <c r="D167">
        <f>LEFT(Tietokanta!K159,2)+RIGHT(Tietokanta!K159,4)/6000</f>
        <v>63.154666666666664</v>
      </c>
      <c r="E167">
        <f>LEFT(Tietokanta!L159,2)+RIGHT(Tietokanta!L159,4)/6000</f>
        <v>21.973333333333333</v>
      </c>
      <c r="F167" s="128">
        <v>38696</v>
      </c>
      <c r="G167" s="129">
        <v>0.763425925925926</v>
      </c>
      <c r="H167" s="127" t="str">
        <f>Tietokanta!J159</f>
        <v>VAASA</v>
      </c>
    </row>
    <row r="168" spans="1:8" ht="12.75">
      <c r="A168" t="s">
        <v>417</v>
      </c>
      <c r="B168" t="s">
        <v>418</v>
      </c>
      <c r="C168" t="str">
        <f>LEFT(Tietokanta!A160,6)</f>
        <v>MASTEN</v>
      </c>
      <c r="D168">
        <f>LEFT(Tietokanta!K160,2)+RIGHT(Tietokanta!K160,4)/6000</f>
        <v>59.483333333333334</v>
      </c>
      <c r="E168">
        <f>LEFT(Tietokanta!L160,2)+RIGHT(Tietokanta!L160,4)/6000</f>
        <v>17.866666666666667</v>
      </c>
      <c r="F168" s="128">
        <v>38696</v>
      </c>
      <c r="G168" s="129">
        <v>0.763425925925926</v>
      </c>
      <c r="H168" s="127" t="str">
        <f>Tietokanta!J160</f>
        <v>BARKARBYN MASTO</v>
      </c>
    </row>
    <row r="169" spans="1:8" ht="12.75">
      <c r="A169" t="s">
        <v>417</v>
      </c>
      <c r="B169" t="s">
        <v>418</v>
      </c>
      <c r="C169" t="e">
        <f>LEFT(Tietokanta!#REF!,6)</f>
        <v>#REF!</v>
      </c>
      <c r="D169" t="e">
        <f>LEFT(Tietokanta!#REF!,2)+RIGHT(Tietokanta!#REF!,4)/6000</f>
        <v>#REF!</v>
      </c>
      <c r="E169" t="e">
        <f>LEFT(Tietokanta!#REF!,2)+RIGHT(Tietokanta!#REF!,4)/6000</f>
        <v>#REF!</v>
      </c>
      <c r="F169" s="128">
        <v>38696</v>
      </c>
      <c r="G169" s="129">
        <v>0.763425925925926</v>
      </c>
      <c r="H169" s="127" t="e">
        <f>Tietokanta!#REF!</f>
        <v>#REF!</v>
      </c>
    </row>
    <row r="170" spans="1:8" ht="12.75">
      <c r="A170" t="s">
        <v>417</v>
      </c>
      <c r="B170" t="s">
        <v>418</v>
      </c>
      <c r="C170" t="str">
        <f>LEFT(Tietokanta!A161,6)</f>
        <v>HANHI </v>
      </c>
      <c r="D170">
        <f>LEFT(Tietokanta!K161,2)+RIGHT(Tietokanta!K161,4)/6000</f>
        <v>62.05716666666667</v>
      </c>
      <c r="E170">
        <f>LEFT(Tietokanta!L161,2)+RIGHT(Tietokanta!L161,4)/6000</f>
        <v>29.04083333333333</v>
      </c>
      <c r="F170" s="128">
        <v>38696</v>
      </c>
      <c r="G170" s="129">
        <v>0.763425925925926</v>
      </c>
      <c r="H170" s="127" t="str">
        <f>Tietokanta!J161</f>
        <v>SAVONLINNA</v>
      </c>
    </row>
    <row r="171" spans="1:8" ht="12.75">
      <c r="A171" t="s">
        <v>417</v>
      </c>
      <c r="B171" t="s">
        <v>418</v>
      </c>
      <c r="C171" t="str">
        <f>LEFT(Tietokanta!A162,6)</f>
        <v>MOVUK</v>
      </c>
      <c r="D171">
        <f>LEFT(Tietokanta!K162,2)+RIGHT(Tietokanta!K162,4)/6000</f>
        <v>67.96716666666667</v>
      </c>
      <c r="E171">
        <f>LEFT(Tietokanta!L162,2)+RIGHT(Tietokanta!L162,4)/6000</f>
        <v>23.624333333333333</v>
      </c>
      <c r="F171" s="128">
        <v>38696</v>
      </c>
      <c r="G171" s="129">
        <v>0.763425925925926</v>
      </c>
      <c r="H171" s="127" t="str">
        <f>Tietokanta!J162</f>
        <v>RAJANYLITYS</v>
      </c>
    </row>
    <row r="172" spans="1:8" ht="12.75">
      <c r="A172" t="s">
        <v>417</v>
      </c>
      <c r="B172" t="s">
        <v>418</v>
      </c>
      <c r="C172" t="str">
        <f>LEFT(Tietokanta!A163,6)</f>
        <v>PALTA </v>
      </c>
      <c r="D172">
        <f>LEFT(Tietokanta!K163,2)+RIGHT(Tietokanta!K163,4)/6000</f>
        <v>64.42083333333333</v>
      </c>
      <c r="E172">
        <f>LEFT(Tietokanta!L163,2)+RIGHT(Tietokanta!L163,4)/6000</f>
        <v>27.840166666666665</v>
      </c>
      <c r="F172" s="128">
        <v>38696</v>
      </c>
      <c r="G172" s="129">
        <v>0.763425925925926</v>
      </c>
      <c r="H172" s="127" t="str">
        <f>Tietokanta!J163</f>
        <v>KAJAANI</v>
      </c>
    </row>
    <row r="173" spans="1:8" ht="12.75">
      <c r="A173" t="s">
        <v>417</v>
      </c>
      <c r="B173" t="s">
        <v>418</v>
      </c>
      <c r="C173" t="e">
        <f>LEFT(Tietokanta!#REF!,6)</f>
        <v>#REF!</v>
      </c>
      <c r="D173" t="e">
        <f>LEFT(Tietokanta!#REF!,2)+RIGHT(Tietokanta!#REF!,4)/6000</f>
        <v>#REF!</v>
      </c>
      <c r="E173" t="e">
        <f>LEFT(Tietokanta!#REF!,2)+RIGHT(Tietokanta!#REF!,4)/6000</f>
        <v>#REF!</v>
      </c>
      <c r="F173" s="128">
        <v>38696</v>
      </c>
      <c r="G173" s="129">
        <v>0.763425925925926</v>
      </c>
      <c r="H173" s="127" t="e">
        <f>Tietokanta!#REF!</f>
        <v>#REF!</v>
      </c>
    </row>
    <row r="174" spans="1:8" ht="12.75">
      <c r="A174" t="s">
        <v>417</v>
      </c>
      <c r="B174" t="s">
        <v>418</v>
      </c>
      <c r="C174" t="str">
        <f>LEFT(Tietokanta!A164,6)</f>
        <v>KUUSA </v>
      </c>
      <c r="D174">
        <f>LEFT(Tietokanta!K164,2)+RIGHT(Tietokanta!K164,4)/6000</f>
        <v>62.45433333333333</v>
      </c>
      <c r="E174">
        <f>LEFT(Tietokanta!L164,2)+RIGHT(Tietokanta!L164,4)/6000</f>
        <v>25.934833333333334</v>
      </c>
      <c r="F174" s="128">
        <v>38696</v>
      </c>
      <c r="G174" s="129">
        <v>0.763425925925926</v>
      </c>
      <c r="H174" s="127" t="str">
        <f>Tietokanta!J164</f>
        <v>JYVÄSKYLÄ</v>
      </c>
    </row>
    <row r="175" spans="1:8" ht="12.75">
      <c r="A175" t="s">
        <v>417</v>
      </c>
      <c r="B175" t="s">
        <v>418</v>
      </c>
      <c r="C175" t="str">
        <f>LEFT(Tietokanta!A165,6)</f>
        <v>HERMU </v>
      </c>
      <c r="D175">
        <f>LEFT(Tietokanta!K165,2)+RIGHT(Tietokanta!K165,4)/6000</f>
        <v>61.037166666666664</v>
      </c>
      <c r="E175">
        <f>LEFT(Tietokanta!L165,2)+RIGHT(Tietokanta!L165,4)/6000</f>
        <v>27.241</v>
      </c>
      <c r="F175" s="128">
        <v>38696</v>
      </c>
      <c r="G175" s="129">
        <v>0.763425925925926</v>
      </c>
      <c r="H175" s="127" t="str">
        <f>Tietokanta!J165</f>
        <v>UTTI</v>
      </c>
    </row>
    <row r="176" spans="1:8" ht="12.75">
      <c r="A176" t="s">
        <v>417</v>
      </c>
      <c r="B176" t="s">
        <v>418</v>
      </c>
      <c r="C176" t="str">
        <f>LEFT(Tietokanta!A166,6)</f>
        <v>LAMPO </v>
      </c>
      <c r="D176">
        <f>LEFT(Tietokanta!K166,2)+RIGHT(Tietokanta!K166,4)/6000</f>
        <v>62.08883333333333</v>
      </c>
      <c r="E176">
        <f>LEFT(Tietokanta!L166,2)+RIGHT(Tietokanta!L166,4)/6000</f>
        <v>28.275</v>
      </c>
      <c r="F176" s="128">
        <v>38696</v>
      </c>
      <c r="G176" s="129">
        <v>0.763425925925926</v>
      </c>
      <c r="H176" s="127" t="str">
        <f>Tietokanta!J166</f>
        <v>VARKAUS</v>
      </c>
    </row>
    <row r="177" spans="1:8" ht="12.75">
      <c r="A177" t="s">
        <v>417</v>
      </c>
      <c r="B177" t="s">
        <v>418</v>
      </c>
      <c r="C177" t="str">
        <f>LEFT(Tietokanta!A167,6)</f>
        <v>NARVIJ</v>
      </c>
      <c r="D177">
        <f>LEFT(Tietokanta!K167,2)+RIGHT(Tietokanta!K167,4)/6000</f>
        <v>61.06666666666667</v>
      </c>
      <c r="E177">
        <f>LEFT(Tietokanta!L167,2)+RIGHT(Tietokanta!L167,4)/6000</f>
        <v>21.883333333333333</v>
      </c>
      <c r="F177" s="128">
        <v>38696</v>
      </c>
      <c r="G177" s="129">
        <v>0.763425925925926</v>
      </c>
      <c r="H177" s="127" t="str">
        <f>Tietokanta!J167</f>
        <v>NARVI, LAPPI TL</v>
      </c>
    </row>
    <row r="178" spans="1:8" ht="12.75">
      <c r="A178" t="s">
        <v>417</v>
      </c>
      <c r="B178" t="s">
        <v>418</v>
      </c>
      <c r="C178" t="str">
        <f>LEFT(Tietokanta!A170,6)</f>
        <v>PEHKO </v>
      </c>
      <c r="D178">
        <f>LEFT(Tietokanta!K170,2)+RIGHT(Tietokanta!K170,4)/6000</f>
        <v>64.37483333333333</v>
      </c>
      <c r="E178">
        <f>LEFT(Tietokanta!L170,2)+RIGHT(Tietokanta!L170,4)/6000</f>
        <v>27.293</v>
      </c>
      <c r="F178" s="128">
        <v>38696</v>
      </c>
      <c r="G178" s="129">
        <v>0.763425925925926</v>
      </c>
      <c r="H178" s="127" t="str">
        <f>Tietokanta!J170</f>
        <v>KAJAANI</v>
      </c>
    </row>
    <row r="179" spans="1:8" ht="12.75">
      <c r="A179" t="s">
        <v>417</v>
      </c>
      <c r="B179" t="s">
        <v>418</v>
      </c>
      <c r="C179" t="str">
        <f>LEFT(Tietokanta!A171,6)</f>
        <v>POLVI </v>
      </c>
      <c r="D179">
        <f>LEFT(Tietokanta!K171,2)+RIGHT(Tietokanta!K171,4)/6000</f>
        <v>62.84</v>
      </c>
      <c r="E179">
        <f>LEFT(Tietokanta!L171,2)+RIGHT(Tietokanta!L171,4)/6000</f>
        <v>29.316833333333335</v>
      </c>
      <c r="F179" s="128">
        <v>38696</v>
      </c>
      <c r="G179" s="129">
        <v>0.763425925925926</v>
      </c>
      <c r="H179" s="127" t="str">
        <f>Tietokanta!J171</f>
        <v>JOENSUU</v>
      </c>
    </row>
    <row r="180" spans="1:8" ht="12.75">
      <c r="A180" t="s">
        <v>417</v>
      </c>
      <c r="B180" t="s">
        <v>418</v>
      </c>
      <c r="C180" t="str">
        <f>LEFT(Tietokanta!A173,6)</f>
        <v>NOKKA </v>
      </c>
      <c r="D180">
        <f>LEFT(Tietokanta!K173,2)+RIGHT(Tietokanta!K173,4)/6000</f>
        <v>60.18333333333333</v>
      </c>
      <c r="E180">
        <f>LEFT(Tietokanta!L173,2)+RIGHT(Tietokanta!L173,4)/6000</f>
        <v>25.020166666666668</v>
      </c>
      <c r="F180" s="128">
        <v>38696</v>
      </c>
      <c r="G180" s="129">
        <v>0.763425925925926</v>
      </c>
      <c r="H180" s="127" t="str">
        <f>Tietokanta!J173</f>
        <v>MALMI</v>
      </c>
    </row>
    <row r="181" spans="1:8" ht="12.75">
      <c r="A181" t="s">
        <v>417</v>
      </c>
      <c r="B181" t="s">
        <v>418</v>
      </c>
      <c r="C181" t="str">
        <f>LEFT(Tietokanta!A174,6)</f>
        <v>SIRMA </v>
      </c>
      <c r="D181">
        <f>LEFT(Tietokanta!K174,2)+RIGHT(Tietokanta!K174,4)/6000</f>
        <v>61.61983333333333</v>
      </c>
      <c r="E181">
        <f>LEFT(Tietokanta!L174,2)+RIGHT(Tietokanta!L174,4)/6000</f>
        <v>21.773833333333332</v>
      </c>
      <c r="F181" s="128">
        <v>38696</v>
      </c>
      <c r="G181" s="129">
        <v>0.763425925925926</v>
      </c>
      <c r="H181" s="127" t="str">
        <f>Tietokanta!J174</f>
        <v>PORI</v>
      </c>
    </row>
    <row r="182" spans="1:8" ht="12.75">
      <c r="A182" t="s">
        <v>417</v>
      </c>
      <c r="B182" t="s">
        <v>418</v>
      </c>
      <c r="C182" t="str">
        <f>LEFT(Tietokanta!A175,6)</f>
        <v>KUORA </v>
      </c>
      <c r="D182">
        <f>LEFT(Tietokanta!K175,2)+RIGHT(Tietokanta!K175,4)/6000</f>
        <v>62.641666666666666</v>
      </c>
      <c r="E182">
        <f>LEFT(Tietokanta!L175,2)+RIGHT(Tietokanta!L175,4)/6000</f>
        <v>23.292833333333334</v>
      </c>
      <c r="F182" s="128">
        <v>38696</v>
      </c>
      <c r="G182" s="129">
        <v>0.763425925925926</v>
      </c>
      <c r="H182" s="127" t="str">
        <f>Tietokanta!J175</f>
        <v>SEINÄJOKI</v>
      </c>
    </row>
    <row r="183" spans="1:8" ht="12.75">
      <c r="A183" t="s">
        <v>417</v>
      </c>
      <c r="B183" t="s">
        <v>418</v>
      </c>
      <c r="C183" t="str">
        <f>LEFT(Tietokanta!A176,6)</f>
        <v>SONKA </v>
      </c>
      <c r="D183">
        <f>LEFT(Tietokanta!K176,2)+RIGHT(Tietokanta!K176,4)/6000</f>
        <v>66.57116666666667</v>
      </c>
      <c r="E183">
        <f>LEFT(Tietokanta!L176,2)+RIGHT(Tietokanta!L176,4)/6000</f>
        <v>25.439833333333333</v>
      </c>
      <c r="F183" s="128">
        <v>38696</v>
      </c>
      <c r="G183" s="129">
        <v>0.763425925925926</v>
      </c>
      <c r="H183" s="127" t="str">
        <f>Tietokanta!J176</f>
        <v>ROVANIEMI</v>
      </c>
    </row>
    <row r="184" spans="1:8" ht="12.75">
      <c r="A184" t="s">
        <v>417</v>
      </c>
      <c r="B184" t="s">
        <v>418</v>
      </c>
      <c r="C184" t="str">
        <f>LEFT(Tietokanta!A177,6)</f>
        <v>NUMMIJ</v>
      </c>
      <c r="D184">
        <f>LEFT(Tietokanta!K177,2)+RIGHT(Tietokanta!K177,4)/6000</f>
        <v>62.28333333333333</v>
      </c>
      <c r="E184">
        <f>LEFT(Tietokanta!L177,2)+RIGHT(Tietokanta!L177,4)/6000</f>
        <v>22.433333333333334</v>
      </c>
      <c r="F184" s="128">
        <v>38696</v>
      </c>
      <c r="G184" s="129">
        <v>0.763425925925926</v>
      </c>
      <c r="H184" s="127" t="str">
        <f>Tietokanta!J177</f>
        <v>NUMMIJÄRVI</v>
      </c>
    </row>
    <row r="185" spans="1:8" ht="12.75">
      <c r="A185" t="s">
        <v>417</v>
      </c>
      <c r="B185" t="s">
        <v>418</v>
      </c>
      <c r="C185" t="str">
        <f>LEFT(Tietokanta!A178,6)</f>
        <v>HIRVA </v>
      </c>
      <c r="D185">
        <f>LEFT(Tietokanta!K178,2)+RIGHT(Tietokanta!K178,4)/6000</f>
        <v>68.38433333333333</v>
      </c>
      <c r="E185">
        <f>LEFT(Tietokanta!L178,2)+RIGHT(Tietokanta!L178,4)/6000</f>
        <v>23.054166666666667</v>
      </c>
      <c r="F185" s="128">
        <v>38696</v>
      </c>
      <c r="G185" s="129">
        <v>0.763425925925926</v>
      </c>
      <c r="H185" s="127" t="str">
        <f>Tietokanta!J178</f>
        <v>ENONTEKIÖ</v>
      </c>
    </row>
    <row r="186" spans="1:8" ht="12.75">
      <c r="A186" t="s">
        <v>417</v>
      </c>
      <c r="B186" t="s">
        <v>418</v>
      </c>
      <c r="C186" t="str">
        <f>LEFT(Tietokanta!A179,6)</f>
        <v>OHKO</v>
      </c>
      <c r="D186">
        <f>LEFT(Tietokanta!K179,2)+RIGHT(Tietokanta!K179,4)/6000</f>
        <v>60.574666666666666</v>
      </c>
      <c r="E186">
        <f>LEFT(Tietokanta!L179,2)+RIGHT(Tietokanta!L179,4)/6000</f>
        <v>25.138333333333332</v>
      </c>
      <c r="F186" s="128">
        <v>38696</v>
      </c>
      <c r="G186" s="129">
        <v>0.763425925925926</v>
      </c>
      <c r="H186" s="127">
        <f>Tietokanta!J179</f>
        <v>0</v>
      </c>
    </row>
    <row r="187" spans="1:8" ht="12.75">
      <c r="A187" t="s">
        <v>417</v>
      </c>
      <c r="B187" t="s">
        <v>418</v>
      </c>
      <c r="C187" t="e">
        <f>LEFT(Tietokanta!#REF!,6)</f>
        <v>#REF!</v>
      </c>
      <c r="D187" t="e">
        <f>LEFT(Tietokanta!#REF!,2)+RIGHT(Tietokanta!#REF!,4)/6000</f>
        <v>#REF!</v>
      </c>
      <c r="E187" t="e">
        <f>LEFT(Tietokanta!#REF!,2)+RIGHT(Tietokanta!#REF!,4)/6000</f>
        <v>#REF!</v>
      </c>
      <c r="F187" s="128">
        <v>38696</v>
      </c>
      <c r="G187" s="129">
        <v>0.763425925925926</v>
      </c>
      <c r="H187" s="127" t="e">
        <f>Tietokanta!#REF!</f>
        <v>#REF!</v>
      </c>
    </row>
    <row r="188" spans="1:8" ht="12.75">
      <c r="A188" t="s">
        <v>417</v>
      </c>
      <c r="B188" t="s">
        <v>418</v>
      </c>
      <c r="C188" t="str">
        <f>LEFT(Tietokanta!A180,6)</f>
        <v>HEINU </v>
      </c>
      <c r="D188">
        <f>LEFT(Tietokanta!K180,2)+RIGHT(Tietokanta!K180,4)/6000</f>
        <v>66.50533333333334</v>
      </c>
      <c r="E188">
        <f>LEFT(Tietokanta!L180,2)+RIGHT(Tietokanta!L180,4)/6000</f>
        <v>26.116833333333332</v>
      </c>
      <c r="F188" s="128">
        <v>38696</v>
      </c>
      <c r="G188" s="129">
        <v>0.763425925925926</v>
      </c>
      <c r="H188" s="127" t="str">
        <f>Tietokanta!J180</f>
        <v>ROVANIEMI</v>
      </c>
    </row>
    <row r="189" spans="1:8" ht="12.75">
      <c r="A189" t="s">
        <v>417</v>
      </c>
      <c r="B189" t="s">
        <v>418</v>
      </c>
      <c r="C189" t="str">
        <f>LEFT(Tietokanta!A181,6)</f>
        <v>IKOIN </v>
      </c>
      <c r="D189">
        <f>LEFT(Tietokanta!K181,2)+RIGHT(Tietokanta!K181,4)/6000</f>
        <v>61.77283333333333</v>
      </c>
      <c r="E189">
        <f>LEFT(Tietokanta!L181,2)+RIGHT(Tietokanta!L181,4)/6000</f>
        <v>28.976</v>
      </c>
      <c r="F189" s="128">
        <v>38696</v>
      </c>
      <c r="G189" s="129">
        <v>0.763425925925926</v>
      </c>
      <c r="H189" s="127" t="str">
        <f>Tietokanta!J181</f>
        <v>SAVONLINNA</v>
      </c>
    </row>
    <row r="190" spans="1:8" ht="12.75">
      <c r="A190" t="s">
        <v>417</v>
      </c>
      <c r="B190" t="s">
        <v>418</v>
      </c>
      <c r="C190" t="str">
        <f>LEFT(Tietokanta!A182,6)</f>
        <v>OSIKO </v>
      </c>
      <c r="D190">
        <f>LEFT(Tietokanta!K182,2)+RIGHT(Tietokanta!K182,4)/6000</f>
        <v>62.042</v>
      </c>
      <c r="E190">
        <f>LEFT(Tietokanta!L182,2)+RIGHT(Tietokanta!L182,4)/6000</f>
        <v>28.28933333333333</v>
      </c>
      <c r="F190" s="128">
        <v>38696</v>
      </c>
      <c r="G190" s="129">
        <v>0.763425925925926</v>
      </c>
      <c r="H190" s="127" t="str">
        <f>Tietokanta!J182</f>
        <v>SAVONLINNA</v>
      </c>
    </row>
    <row r="191" spans="1:8" ht="12.75">
      <c r="A191" t="s">
        <v>417</v>
      </c>
      <c r="B191" t="s">
        <v>418</v>
      </c>
      <c r="C191" t="str">
        <f>LEFT(Tietokanta!A183,6)</f>
        <v>LINKI </v>
      </c>
      <c r="D191">
        <f>LEFT(Tietokanta!K183,2)+RIGHT(Tietokanta!K183,4)/6000</f>
        <v>61.751666666666665</v>
      </c>
      <c r="E191">
        <f>LEFT(Tietokanta!L183,2)+RIGHT(Tietokanta!L183,4)/6000</f>
        <v>27.541666666666668</v>
      </c>
      <c r="F191" s="128">
        <v>38696</v>
      </c>
      <c r="G191" s="129">
        <v>0.763425925925926</v>
      </c>
      <c r="H191" s="127" t="str">
        <f>Tietokanta!J183</f>
        <v>MIKKELI</v>
      </c>
    </row>
    <row r="192" spans="1:8" ht="12.75">
      <c r="A192" t="s">
        <v>417</v>
      </c>
      <c r="B192" t="s">
        <v>418</v>
      </c>
      <c r="C192" t="e">
        <f>LEFT(Tietokanta!#REF!,6)</f>
        <v>#REF!</v>
      </c>
      <c r="D192" t="e">
        <f>LEFT(Tietokanta!#REF!,2)+RIGHT(Tietokanta!#REF!,4)/6000</f>
        <v>#REF!</v>
      </c>
      <c r="E192" t="e">
        <f>LEFT(Tietokanta!#REF!,2)+RIGHT(Tietokanta!#REF!,4)/6000</f>
        <v>#REF!</v>
      </c>
      <c r="F192" s="128">
        <v>38696</v>
      </c>
      <c r="G192" s="129">
        <v>0.763425925925926</v>
      </c>
      <c r="H192" s="127" t="e">
        <f>Tietokanta!#REF!</f>
        <v>#REF!</v>
      </c>
    </row>
    <row r="193" spans="1:8" ht="12.75">
      <c r="A193" t="s">
        <v>417</v>
      </c>
      <c r="B193" t="s">
        <v>418</v>
      </c>
      <c r="C193" t="str">
        <f>LEFT(Tietokanta!A184,6)</f>
        <v>PABVO</v>
      </c>
      <c r="D193">
        <f>LEFT(Tietokanta!K184,2)+RIGHT(Tietokanta!K184,4)/6000</f>
        <v>68.65816666666667</v>
      </c>
      <c r="E193">
        <f>LEFT(Tietokanta!L184,2)+RIGHT(Tietokanta!L184,4)/6000</f>
        <v>23.317666666666668</v>
      </c>
      <c r="F193" s="128">
        <v>38696</v>
      </c>
      <c r="G193" s="129">
        <v>0.763425925925926</v>
      </c>
      <c r="H193" s="127" t="str">
        <f>Tietokanta!J184</f>
        <v>RAJANYLITYS</v>
      </c>
    </row>
    <row r="194" spans="1:8" ht="12.75">
      <c r="A194" t="s">
        <v>417</v>
      </c>
      <c r="B194" t="s">
        <v>418</v>
      </c>
      <c r="C194" t="str">
        <f>LEFT(Tietokanta!A185,6)</f>
        <v>PADASJ</v>
      </c>
      <c r="D194">
        <f>LEFT(Tietokanta!K185,2)+RIGHT(Tietokanta!K185,4)/6000</f>
        <v>61.36666666666667</v>
      </c>
      <c r="E194">
        <f>LEFT(Tietokanta!L185,2)+RIGHT(Tietokanta!L185,4)/6000</f>
        <v>25.3</v>
      </c>
      <c r="F194" s="128">
        <v>38696</v>
      </c>
      <c r="G194" s="129">
        <v>0.763425925925926</v>
      </c>
      <c r="H194" s="127" t="str">
        <f>Tietokanta!J185</f>
        <v>PADASJOKI SATAMA</v>
      </c>
    </row>
    <row r="195" spans="1:8" ht="12.75">
      <c r="A195" t="s">
        <v>417</v>
      </c>
      <c r="B195" t="s">
        <v>418</v>
      </c>
      <c r="C195" t="str">
        <f>LEFT(Tietokanta!A186,6)</f>
        <v>KIHTI </v>
      </c>
      <c r="D195">
        <f>LEFT(Tietokanta!K186,2)+RIGHT(Tietokanta!K186,4)/6000</f>
        <v>60.37566666666667</v>
      </c>
      <c r="E195">
        <f>LEFT(Tietokanta!L186,2)+RIGHT(Tietokanta!L186,4)/6000</f>
        <v>22.117833333333333</v>
      </c>
      <c r="F195" s="128">
        <v>38696</v>
      </c>
      <c r="G195" s="129">
        <v>0.763425925925926</v>
      </c>
      <c r="H195" s="127" t="str">
        <f>Tietokanta!J186</f>
        <v>TURKU</v>
      </c>
    </row>
    <row r="196" spans="1:8" ht="12.75">
      <c r="A196" t="s">
        <v>417</v>
      </c>
      <c r="B196" t="s">
        <v>418</v>
      </c>
      <c r="C196" t="str">
        <f>LEFT(Tietokanta!A187,6)</f>
        <v>PARKAN</v>
      </c>
      <c r="D196">
        <f>LEFT(Tietokanta!K187,2)+RIGHT(Tietokanta!K187,4)/6000</f>
        <v>61.989</v>
      </c>
      <c r="E196">
        <f>LEFT(Tietokanta!L187,2)+RIGHT(Tietokanta!L187,4)/6000</f>
        <v>23.016833333333334</v>
      </c>
      <c r="F196" s="128">
        <v>38696</v>
      </c>
      <c r="G196" s="129">
        <v>0.763425925925926</v>
      </c>
      <c r="H196" s="127" t="str">
        <f>Tietokanta!J187</f>
        <v>PARKANO</v>
      </c>
    </row>
    <row r="197" spans="1:8" ht="12.75">
      <c r="A197" t="s">
        <v>417</v>
      </c>
      <c r="B197" t="s">
        <v>418</v>
      </c>
      <c r="C197" t="e">
        <f>LEFT(Tietokanta!#REF!,6)</f>
        <v>#REF!</v>
      </c>
      <c r="D197" t="e">
        <f>LEFT(Tietokanta!#REF!,2)+RIGHT(Tietokanta!#REF!,4)/6000</f>
        <v>#REF!</v>
      </c>
      <c r="E197" t="e">
        <f>LEFT(Tietokanta!#REF!,2)+RIGHT(Tietokanta!#REF!,4)/6000</f>
        <v>#REF!</v>
      </c>
      <c r="F197" s="128">
        <v>38696</v>
      </c>
      <c r="G197" s="129">
        <v>0.763425925925926</v>
      </c>
      <c r="H197" s="127" t="e">
        <f>Tietokanta!#REF!</f>
        <v>#REF!</v>
      </c>
    </row>
    <row r="198" spans="1:8" ht="12.75">
      <c r="A198" t="s">
        <v>417</v>
      </c>
      <c r="B198" t="s">
        <v>418</v>
      </c>
      <c r="C198" t="e">
        <f>LEFT(Tietokanta!#REF!,6)</f>
        <v>#REF!</v>
      </c>
      <c r="D198" t="e">
        <f>LEFT(Tietokanta!#REF!,2)+RIGHT(Tietokanta!#REF!,4)/6000</f>
        <v>#REF!</v>
      </c>
      <c r="E198" t="e">
        <f>LEFT(Tietokanta!#REF!,2)+RIGHT(Tietokanta!#REF!,4)/6000</f>
        <v>#REF!</v>
      </c>
      <c r="F198" s="128">
        <v>38696</v>
      </c>
      <c r="G198" s="129">
        <v>0.763425925925926</v>
      </c>
      <c r="H198" s="127" t="e">
        <f>Tietokanta!#REF!</f>
        <v>#REF!</v>
      </c>
    </row>
    <row r="199" spans="1:8" ht="12.75">
      <c r="A199" t="s">
        <v>417</v>
      </c>
      <c r="B199" t="s">
        <v>418</v>
      </c>
      <c r="C199" t="str">
        <f>LEFT(Tietokanta!A188,6)</f>
        <v>RISTI </v>
      </c>
      <c r="D199">
        <f>LEFT(Tietokanta!K188,2)+RIGHT(Tietokanta!K188,4)/6000</f>
        <v>61.534333333333336</v>
      </c>
      <c r="E199">
        <f>LEFT(Tietokanta!L188,2)+RIGHT(Tietokanta!L188,4)/6000</f>
        <v>27.283666666666665</v>
      </c>
      <c r="F199" s="128">
        <v>38696</v>
      </c>
      <c r="G199" s="129">
        <v>0.763425925925926</v>
      </c>
      <c r="H199" s="127" t="str">
        <f>Tietokanta!J188</f>
        <v>MIKKELI</v>
      </c>
    </row>
    <row r="200" spans="1:8" ht="12.75">
      <c r="A200" t="s">
        <v>417</v>
      </c>
      <c r="B200" t="s">
        <v>418</v>
      </c>
      <c r="C200" t="str">
        <f>LEFT(Tietokanta!A189,6)</f>
        <v>PELOP</v>
      </c>
      <c r="D200">
        <f>LEFT(Tietokanta!K189,2)+RIGHT(Tietokanta!K189,4)/6000</f>
        <v>66.802</v>
      </c>
      <c r="E200">
        <f>LEFT(Tietokanta!L189,2)+RIGHT(Tietokanta!L189,4)/6000</f>
        <v>23.985166666666668</v>
      </c>
      <c r="F200" s="128">
        <v>38696</v>
      </c>
      <c r="G200" s="129">
        <v>0.763425925925926</v>
      </c>
      <c r="H200" s="127" t="str">
        <f>Tietokanta!J189</f>
        <v>RAJANYLITYS</v>
      </c>
    </row>
    <row r="201" spans="1:8" ht="12.75">
      <c r="A201" t="s">
        <v>417</v>
      </c>
      <c r="B201" t="s">
        <v>418</v>
      </c>
      <c r="C201" t="e">
        <f>LEFT(Tietokanta!#REF!,6)</f>
        <v>#REF!</v>
      </c>
      <c r="D201" t="e">
        <f>LEFT(Tietokanta!#REF!,2)+RIGHT(Tietokanta!#REF!,4)/6000</f>
        <v>#REF!</v>
      </c>
      <c r="E201" t="e">
        <f>LEFT(Tietokanta!#REF!,2)+RIGHT(Tietokanta!#REF!,4)/6000</f>
        <v>#REF!</v>
      </c>
      <c r="F201" s="128">
        <v>38696</v>
      </c>
      <c r="G201" s="129">
        <v>0.763425925925926</v>
      </c>
      <c r="H201" s="127" t="e">
        <f>Tietokanta!#REF!</f>
        <v>#REF!</v>
      </c>
    </row>
    <row r="202" spans="1:8" ht="12.75">
      <c r="A202" t="s">
        <v>417</v>
      </c>
      <c r="B202" t="s">
        <v>418</v>
      </c>
      <c r="C202" t="str">
        <f>LEFT(Tietokanta!A190,6)</f>
        <v>NURMO </v>
      </c>
      <c r="D202">
        <f>LEFT(Tietokanta!K190,2)+RIGHT(Tietokanta!K190,4)/6000</f>
        <v>62.82516666666667</v>
      </c>
      <c r="E202">
        <f>LEFT(Tietokanta!L190,2)+RIGHT(Tietokanta!L190,4)/6000</f>
        <v>22.917333333333332</v>
      </c>
      <c r="F202" s="128">
        <v>38696</v>
      </c>
      <c r="G202" s="129">
        <v>0.763425925925926</v>
      </c>
      <c r="H202" s="127" t="str">
        <f>Tietokanta!J190</f>
        <v>SEINÄJOKI</v>
      </c>
    </row>
    <row r="203" spans="1:8" ht="12.75">
      <c r="A203" t="s">
        <v>417</v>
      </c>
      <c r="B203" t="s">
        <v>418</v>
      </c>
      <c r="C203" t="str">
        <f>LEFT(Tietokanta!A191,6)</f>
        <v>JOHKA </v>
      </c>
      <c r="D203">
        <f>LEFT(Tietokanta!K191,2)+RIGHT(Tietokanta!K191,4)/6000</f>
        <v>68.40833333333333</v>
      </c>
      <c r="E203">
        <f>LEFT(Tietokanta!L191,2)+RIGHT(Tietokanta!L191,4)/6000</f>
        <v>23.933833333333332</v>
      </c>
      <c r="F203" s="128">
        <v>38696</v>
      </c>
      <c r="G203" s="129">
        <v>0.763425925925926</v>
      </c>
      <c r="H203" s="127" t="str">
        <f>Tietokanta!J191</f>
        <v>ENONTEKIO</v>
      </c>
    </row>
    <row r="204" spans="1:8" ht="12.75">
      <c r="A204" t="s">
        <v>417</v>
      </c>
      <c r="B204" t="s">
        <v>418</v>
      </c>
      <c r="C204" t="str">
        <f>LEFT(Tietokanta!A192,6)</f>
        <v>VASKI </v>
      </c>
      <c r="D204">
        <f>LEFT(Tietokanta!K192,2)+RIGHT(Tietokanta!K192,4)/6000</f>
        <v>68.51666666666667</v>
      </c>
      <c r="E204">
        <f>LEFT(Tietokanta!L192,2)+RIGHT(Tietokanta!L192,4)/6000</f>
        <v>26.817666666666668</v>
      </c>
      <c r="F204" s="128">
        <v>38696</v>
      </c>
      <c r="G204" s="129">
        <v>0.763425925925926</v>
      </c>
      <c r="H204" s="127" t="str">
        <f>Tietokanta!J192</f>
        <v>IVALO</v>
      </c>
    </row>
    <row r="205" spans="1:8" ht="12.75">
      <c r="A205" t="s">
        <v>417</v>
      </c>
      <c r="B205" t="s">
        <v>418</v>
      </c>
      <c r="C205" t="str">
        <f>LEFT(Tietokanta!A193,6)</f>
        <v>SOLMU </v>
      </c>
      <c r="D205">
        <f>LEFT(Tietokanta!K193,2)+RIGHT(Tietokanta!K193,4)/6000</f>
        <v>61.58583333333333</v>
      </c>
      <c r="E205">
        <f>LEFT(Tietokanta!L193,2)+RIGHT(Tietokanta!L193,4)/6000</f>
        <v>27.018</v>
      </c>
      <c r="F205" s="128">
        <v>38696</v>
      </c>
      <c r="G205" s="129">
        <v>0.763425925925926</v>
      </c>
      <c r="H205" s="127" t="str">
        <f>Tietokanta!J193</f>
        <v>MIKKELI</v>
      </c>
    </row>
    <row r="206" spans="1:8" ht="12.75">
      <c r="A206" t="s">
        <v>417</v>
      </c>
      <c r="B206" t="s">
        <v>418</v>
      </c>
      <c r="C206" t="e">
        <f>LEFT(Tietokanta!#REF!,6)</f>
        <v>#REF!</v>
      </c>
      <c r="D206" t="e">
        <f>LEFT(Tietokanta!#REF!,2)+RIGHT(Tietokanta!#REF!,4)/6000</f>
        <v>#REF!</v>
      </c>
      <c r="E206" t="e">
        <f>LEFT(Tietokanta!#REF!,2)+RIGHT(Tietokanta!#REF!,4)/6000</f>
        <v>#REF!</v>
      </c>
      <c r="F206" s="128">
        <v>38696</v>
      </c>
      <c r="G206" s="129">
        <v>0.763425925925926</v>
      </c>
      <c r="H206" s="127" t="e">
        <f>Tietokanta!#REF!</f>
        <v>#REF!</v>
      </c>
    </row>
    <row r="207" spans="1:8" ht="12.75">
      <c r="A207" t="s">
        <v>417</v>
      </c>
      <c r="B207" t="s">
        <v>418</v>
      </c>
      <c r="C207" t="str">
        <f>LEFT(Tietokanta!A194,6)</f>
        <v>MANSE </v>
      </c>
      <c r="D207">
        <f>LEFT(Tietokanta!K194,2)+RIGHT(Tietokanta!K194,4)/6000</f>
        <v>60.65083333333333</v>
      </c>
      <c r="E207">
        <f>LEFT(Tietokanta!L194,2)+RIGHT(Tietokanta!L194,4)/6000</f>
        <v>22.5515</v>
      </c>
      <c r="F207" s="128">
        <v>38696</v>
      </c>
      <c r="G207" s="129">
        <v>0.763425925925926</v>
      </c>
      <c r="H207" s="127" t="str">
        <f>Tietokanta!J194</f>
        <v>TURKU</v>
      </c>
    </row>
    <row r="208" spans="1:8" ht="12.75">
      <c r="A208" t="s">
        <v>417</v>
      </c>
      <c r="B208" t="s">
        <v>418</v>
      </c>
      <c r="C208" t="str">
        <f>LEFT(Tietokanta!A195,6)</f>
        <v>VAARA </v>
      </c>
      <c r="D208">
        <f>LEFT(Tietokanta!K195,2)+RIGHT(Tietokanta!K195,4)/6000</f>
        <v>67.8585</v>
      </c>
      <c r="E208">
        <f>LEFT(Tietokanta!L195,2)+RIGHT(Tietokanta!L195,4)/6000</f>
        <v>24.405833333333334</v>
      </c>
      <c r="F208" s="128">
        <v>38696</v>
      </c>
      <c r="G208" s="129">
        <v>0.763425925925926</v>
      </c>
      <c r="H208" s="127" t="str">
        <f>Tietokanta!J195</f>
        <v>KITTILÄ</v>
      </c>
    </row>
    <row r="209" spans="1:8" ht="12.75">
      <c r="A209" t="s">
        <v>417</v>
      </c>
      <c r="B209" t="s">
        <v>418</v>
      </c>
      <c r="C209" t="str">
        <f>LEFT(Tietokanta!A197,6)</f>
        <v>ROTUS</v>
      </c>
      <c r="D209">
        <f>LEFT(Tietokanta!K197,2)+RIGHT(Tietokanta!K197,4)/6000</f>
        <v>65.75966666666666</v>
      </c>
      <c r="E209">
        <f>LEFT(Tietokanta!L197,2)+RIGHT(Tietokanta!L197,4)/6000</f>
        <v>24.136666666666667</v>
      </c>
      <c r="F209" s="128">
        <v>38696</v>
      </c>
      <c r="G209" s="129">
        <v>0.763425925925926</v>
      </c>
      <c r="H209" s="127" t="str">
        <f>Tietokanta!J197</f>
        <v>RAJANYLITYS</v>
      </c>
    </row>
    <row r="210" spans="1:8" ht="12.75">
      <c r="A210" t="s">
        <v>417</v>
      </c>
      <c r="B210" t="s">
        <v>418</v>
      </c>
      <c r="C210" t="str">
        <f>LEFT(Tietokanta!A199,6)</f>
        <v>KONTU </v>
      </c>
      <c r="D210">
        <f>LEFT(Tietokanta!K199,2)+RIGHT(Tietokanta!K199,4)/6000</f>
        <v>61.051</v>
      </c>
      <c r="E210">
        <f>LEFT(Tietokanta!L199,2)+RIGHT(Tietokanta!L199,4)/6000</f>
        <v>28.557333333333332</v>
      </c>
      <c r="F210" s="128">
        <v>38696</v>
      </c>
      <c r="G210" s="129">
        <v>0.763425925925926</v>
      </c>
      <c r="H210" s="127" t="str">
        <f>Tietokanta!J199</f>
        <v>LAPPEENRANTA</v>
      </c>
    </row>
    <row r="211" spans="1:8" ht="12.75">
      <c r="A211" t="s">
        <v>417</v>
      </c>
      <c r="B211" t="s">
        <v>418</v>
      </c>
      <c r="C211" t="str">
        <f>LEFT(Tietokanta!A200,6)</f>
        <v>MAANI </v>
      </c>
      <c r="D211">
        <f>LEFT(Tietokanta!K200,2)+RIGHT(Tietokanta!K200,4)/6000</f>
        <v>63.0875</v>
      </c>
      <c r="E211">
        <f>LEFT(Tietokanta!L200,2)+RIGHT(Tietokanta!L200,4)/6000</f>
        <v>27.419666666666668</v>
      </c>
      <c r="F211" s="128">
        <v>38696</v>
      </c>
      <c r="G211" s="129">
        <v>0.763425925925926</v>
      </c>
      <c r="H211" s="127" t="str">
        <f>Tietokanta!J200</f>
        <v>KUOPIO</v>
      </c>
    </row>
    <row r="212" spans="1:8" ht="12.75">
      <c r="A212" t="s">
        <v>417</v>
      </c>
      <c r="B212" t="s">
        <v>418</v>
      </c>
      <c r="C212" t="str">
        <f>LEFT(Tietokanta!A201,6)</f>
        <v>HONKA(</v>
      </c>
      <c r="D212">
        <f>LEFT(Tietokanta!K201,2)+RIGHT(Tietokanta!K201,4)/6000</f>
        <v>60.842166666666664</v>
      </c>
      <c r="E212">
        <f>LEFT(Tietokanta!L201,2)+RIGHT(Tietokanta!L201,4)/6000</f>
        <v>27.322666666666667</v>
      </c>
      <c r="F212" s="128">
        <v>38696</v>
      </c>
      <c r="G212" s="129">
        <v>0.763425925925926</v>
      </c>
      <c r="H212" s="127" t="str">
        <f>Tietokanta!J201</f>
        <v>UTTI</v>
      </c>
    </row>
    <row r="213" spans="1:8" ht="12.75">
      <c r="A213" t="s">
        <v>417</v>
      </c>
      <c r="B213" t="s">
        <v>418</v>
      </c>
      <c r="C213" t="str">
        <f>LEFT(Tietokanta!A202,6)</f>
        <v>OUKKI </v>
      </c>
      <c r="D213">
        <f>LEFT(Tietokanta!K202,2)+RIGHT(Tietokanta!K202,4)/6000</f>
        <v>65.6715</v>
      </c>
      <c r="E213">
        <f>LEFT(Tietokanta!L202,2)+RIGHT(Tietokanta!L202,4)/6000</f>
        <v>24.851666666666667</v>
      </c>
      <c r="F213" s="128">
        <v>38696</v>
      </c>
      <c r="G213" s="129">
        <v>0.763425925925926</v>
      </c>
      <c r="H213" s="127" t="str">
        <f>Tietokanta!J202</f>
        <v>KEMI-TORNIO</v>
      </c>
    </row>
    <row r="214" spans="1:8" ht="12.75">
      <c r="A214" t="s">
        <v>417</v>
      </c>
      <c r="B214" t="s">
        <v>418</v>
      </c>
      <c r="C214" t="str">
        <f>LEFT(Tietokanta!A203,6)</f>
        <v>LENSU </v>
      </c>
      <c r="D214">
        <f>LEFT(Tietokanta!K203,2)+RIGHT(Tietokanta!K203,4)/6000</f>
        <v>60.9045</v>
      </c>
      <c r="E214">
        <f>LEFT(Tietokanta!L203,2)+RIGHT(Tietokanta!L203,4)/6000</f>
        <v>27.853166666666667</v>
      </c>
      <c r="F214" s="128">
        <v>38696</v>
      </c>
      <c r="G214" s="129">
        <v>0.763425925925926</v>
      </c>
      <c r="H214" s="127" t="str">
        <f>Tietokanta!J203</f>
        <v>LAPPEENRANTA</v>
      </c>
    </row>
    <row r="215" spans="1:8" ht="12.75">
      <c r="A215" t="s">
        <v>417</v>
      </c>
      <c r="B215" t="s">
        <v>418</v>
      </c>
      <c r="C215" t="str">
        <f>LEFT(Tietokanta!A204,6)</f>
        <v>NOUSU </v>
      </c>
      <c r="D215">
        <f>LEFT(Tietokanta!K204,2)+RIGHT(Tietokanta!K204,4)/6000</f>
        <v>60.62416666666667</v>
      </c>
      <c r="E215">
        <f>LEFT(Tietokanta!L204,2)+RIGHT(Tietokanta!L204,4)/6000</f>
        <v>22.052833333333332</v>
      </c>
      <c r="F215" s="128">
        <v>38696</v>
      </c>
      <c r="G215" s="129">
        <v>0.763425925925926</v>
      </c>
      <c r="H215" s="127" t="str">
        <f>Tietokanta!J204</f>
        <v>TURKU</v>
      </c>
    </row>
    <row r="216" spans="1:8" ht="12.75">
      <c r="A216" t="s">
        <v>417</v>
      </c>
      <c r="B216" t="s">
        <v>418</v>
      </c>
      <c r="C216" t="e">
        <f>LEFT(Tietokanta!#REF!,6)</f>
        <v>#REF!</v>
      </c>
      <c r="D216" t="e">
        <f>LEFT(Tietokanta!#REF!,2)+RIGHT(Tietokanta!#REF!,4)/6000</f>
        <v>#REF!</v>
      </c>
      <c r="E216" t="e">
        <f>LEFT(Tietokanta!#REF!,2)+RIGHT(Tietokanta!#REF!,4)/6000</f>
        <v>#REF!</v>
      </c>
      <c r="F216" s="128">
        <v>38696</v>
      </c>
      <c r="G216" s="129">
        <v>0.763425925925926</v>
      </c>
      <c r="H216" s="127" t="e">
        <f>Tietokanta!#REF!</f>
        <v>#REF!</v>
      </c>
    </row>
    <row r="217" spans="1:8" ht="12.75">
      <c r="A217" t="s">
        <v>417</v>
      </c>
      <c r="B217" t="s">
        <v>418</v>
      </c>
      <c r="C217" t="str">
        <f>LEFT(Tietokanta!A205,6)</f>
        <v>SIIKA </v>
      </c>
      <c r="D217">
        <f>LEFT(Tietokanta!K205,2)+RIGHT(Tietokanta!K205,4)/6000</f>
        <v>64.84116666666667</v>
      </c>
      <c r="E217">
        <f>LEFT(Tietokanta!L205,2)+RIGHT(Tietokanta!L205,4)/6000</f>
        <v>25.106333333333332</v>
      </c>
      <c r="F217" s="128">
        <v>38696</v>
      </c>
      <c r="G217" s="129">
        <v>0.763425925925926</v>
      </c>
      <c r="H217" s="127" t="str">
        <f>Tietokanta!J205</f>
        <v>OULU</v>
      </c>
    </row>
    <row r="218" spans="1:8" ht="12.75">
      <c r="A218" t="s">
        <v>417</v>
      </c>
      <c r="B218" t="s">
        <v>418</v>
      </c>
      <c r="C218" t="e">
        <f>LEFT(Tietokanta!#REF!,6)</f>
        <v>#REF!</v>
      </c>
      <c r="D218" t="e">
        <f>LEFT(Tietokanta!#REF!,2)+RIGHT(Tietokanta!#REF!,4)/6000</f>
        <v>#REF!</v>
      </c>
      <c r="E218" t="e">
        <f>LEFT(Tietokanta!#REF!,2)+RIGHT(Tietokanta!#REF!,4)/6000</f>
        <v>#REF!</v>
      </c>
      <c r="F218" s="128">
        <v>38696</v>
      </c>
      <c r="G218" s="129">
        <v>0.763425925925926</v>
      </c>
      <c r="H218" s="127" t="e">
        <f>Tietokanta!#REF!</f>
        <v>#REF!</v>
      </c>
    </row>
    <row r="219" spans="1:8" ht="12.75">
      <c r="A219" t="s">
        <v>417</v>
      </c>
      <c r="B219" t="s">
        <v>418</v>
      </c>
      <c r="C219" t="str">
        <f>LEFT(Tietokanta!A206,6)</f>
        <v>KUKSA </v>
      </c>
      <c r="D219">
        <f>LEFT(Tietokanta!K206,2)+RIGHT(Tietokanta!K206,4)/6000</f>
        <v>66.67566666666667</v>
      </c>
      <c r="E219">
        <f>LEFT(Tietokanta!L206,2)+RIGHT(Tietokanta!L206,4)/6000</f>
        <v>25.652666666666665</v>
      </c>
      <c r="F219" s="128">
        <v>38696</v>
      </c>
      <c r="G219" s="129">
        <v>0.763425925925926</v>
      </c>
      <c r="H219" s="127" t="str">
        <f>Tietokanta!J206</f>
        <v>ROVANIEMI</v>
      </c>
    </row>
    <row r="220" spans="1:8" ht="12.75">
      <c r="A220" t="s">
        <v>417</v>
      </c>
      <c r="B220" t="s">
        <v>418</v>
      </c>
      <c r="C220" t="str">
        <f>LEFT(Tietokanta!A207,6)</f>
        <v>VIILA </v>
      </c>
      <c r="D220">
        <f>LEFT(Tietokanta!K207,2)+RIGHT(Tietokanta!K207,4)/6000</f>
        <v>61.30083333333334</v>
      </c>
      <c r="E220">
        <f>LEFT(Tietokanta!L207,2)+RIGHT(Tietokanta!L207,4)/6000</f>
        <v>23.717166666666667</v>
      </c>
      <c r="F220" s="128">
        <v>38696</v>
      </c>
      <c r="G220" s="129">
        <v>0.763425925925926</v>
      </c>
      <c r="H220" s="127" t="str">
        <f>Tietokanta!J207</f>
        <v>PIRKKALA</v>
      </c>
    </row>
    <row r="221" spans="1:8" ht="12.75">
      <c r="A221" t="s">
        <v>417</v>
      </c>
      <c r="B221" t="s">
        <v>418</v>
      </c>
      <c r="C221" t="e">
        <f>LEFT(Tietokanta!#REF!,6)</f>
        <v>#REF!</v>
      </c>
      <c r="D221" t="e">
        <f>LEFT(Tietokanta!#REF!,2)+RIGHT(Tietokanta!#REF!,4)/6000</f>
        <v>#REF!</v>
      </c>
      <c r="E221" t="e">
        <f>LEFT(Tietokanta!#REF!,2)+RIGHT(Tietokanta!#REF!,4)/6000</f>
        <v>#REF!</v>
      </c>
      <c r="F221" s="128">
        <v>38696</v>
      </c>
      <c r="G221" s="129">
        <v>0.763425925925926</v>
      </c>
      <c r="H221" s="127" t="e">
        <f>Tietokanta!#REF!</f>
        <v>#REF!</v>
      </c>
    </row>
    <row r="222" spans="1:8" ht="12.75">
      <c r="A222" t="s">
        <v>417</v>
      </c>
      <c r="B222" t="s">
        <v>418</v>
      </c>
      <c r="C222" t="str">
        <f>LEFT(Tietokanta!A208,6)</f>
        <v>RIMPI </v>
      </c>
      <c r="D222">
        <f>LEFT(Tietokanta!K208,2)+RIGHT(Tietokanta!K208,4)/6000</f>
        <v>64.17633333333333</v>
      </c>
      <c r="E222">
        <f>LEFT(Tietokanta!L208,2)+RIGHT(Tietokanta!L208,4)/6000</f>
        <v>28.0005</v>
      </c>
      <c r="F222" s="128">
        <v>38696</v>
      </c>
      <c r="G222" s="129">
        <v>0.763425925925926</v>
      </c>
      <c r="H222" s="127" t="str">
        <f>Tietokanta!J208</f>
        <v>KAJAANI</v>
      </c>
    </row>
    <row r="223" spans="1:8" ht="12.75">
      <c r="A223" t="s">
        <v>417</v>
      </c>
      <c r="B223" t="s">
        <v>418</v>
      </c>
      <c r="C223" t="str">
        <f>LEFT(Tietokanta!A209,6)</f>
        <v>SUINUL</v>
      </c>
      <c r="D223">
        <f>LEFT(Tietokanta!K209,2)+RIGHT(Tietokanta!K209,4)/6000</f>
        <v>61.2055</v>
      </c>
      <c r="E223">
        <f>LEFT(Tietokanta!L209,2)+RIGHT(Tietokanta!L209,4)/6000</f>
        <v>24.042666666666666</v>
      </c>
      <c r="F223" s="128">
        <v>38696</v>
      </c>
      <c r="G223" s="129">
        <v>0.763425925925926</v>
      </c>
      <c r="H223" s="127" t="str">
        <f>Tietokanta!J209</f>
        <v>SUINULA</v>
      </c>
    </row>
    <row r="224" spans="1:8" ht="12.75">
      <c r="A224" t="s">
        <v>417</v>
      </c>
      <c r="B224" t="s">
        <v>418</v>
      </c>
      <c r="C224" t="str">
        <f>LEFT(Tietokanta!A210,6)</f>
        <v>KALLI </v>
      </c>
      <c r="D224">
        <f>LEFT(Tietokanta!K210,2)+RIGHT(Tietokanta!K210,4)/6000</f>
        <v>61.9045</v>
      </c>
      <c r="E224">
        <f>LEFT(Tietokanta!L210,2)+RIGHT(Tietokanta!L210,4)/6000</f>
        <v>28.59</v>
      </c>
      <c r="F224" s="128">
        <v>38696</v>
      </c>
      <c r="G224" s="129">
        <v>0.763425925925926</v>
      </c>
      <c r="H224" s="127" t="str">
        <f>Tietokanta!J210</f>
        <v>SAVONLINNA</v>
      </c>
    </row>
    <row r="225" spans="1:8" ht="12.75">
      <c r="A225" t="s">
        <v>417</v>
      </c>
      <c r="B225" t="s">
        <v>418</v>
      </c>
      <c r="C225" t="str">
        <f>LEFT(Tietokanta!A211,6)</f>
        <v>MAAVU </v>
      </c>
      <c r="D225">
        <f>LEFT(Tietokanta!K211,2)+RIGHT(Tietokanta!K211,4)/6000</f>
        <v>62.2245</v>
      </c>
      <c r="E225">
        <f>LEFT(Tietokanta!L211,2)+RIGHT(Tietokanta!L211,4)/6000</f>
        <v>27.423833333333334</v>
      </c>
      <c r="F225" s="128">
        <v>38696</v>
      </c>
      <c r="G225" s="129">
        <v>0.763425925925926</v>
      </c>
      <c r="H225" s="127" t="str">
        <f>Tietokanta!J211</f>
        <v>VARKAUS</v>
      </c>
    </row>
    <row r="226" spans="1:8" ht="12.75">
      <c r="A226" t="s">
        <v>417</v>
      </c>
      <c r="B226" t="s">
        <v>418</v>
      </c>
      <c r="C226" t="str">
        <f>LEFT(Tietokanta!A212,6)</f>
        <v>ROLLO </v>
      </c>
      <c r="D226">
        <f>LEFT(Tietokanta!K212,2)+RIGHT(Tietokanta!K212,4)/6000</f>
        <v>65.9415</v>
      </c>
      <c r="E226">
        <f>LEFT(Tietokanta!L212,2)+RIGHT(Tietokanta!L212,4)/6000</f>
        <v>24.893</v>
      </c>
      <c r="F226" s="128">
        <v>38696</v>
      </c>
      <c r="G226" s="129">
        <v>0.763425925925926</v>
      </c>
      <c r="H226" s="127" t="str">
        <f>Tietokanta!J212</f>
        <v>KEMI-TORNIO</v>
      </c>
    </row>
    <row r="227" spans="1:8" ht="12.75">
      <c r="A227" t="s">
        <v>417</v>
      </c>
      <c r="B227" t="s">
        <v>418</v>
      </c>
      <c r="C227" t="e">
        <f>LEFT(Tietokanta!#REF!,6)</f>
        <v>#REF!</v>
      </c>
      <c r="D227" t="e">
        <f>LEFT(Tietokanta!#REF!,2)+RIGHT(Tietokanta!#REF!,4)/6000</f>
        <v>#REF!</v>
      </c>
      <c r="E227" t="e">
        <f>LEFT(Tietokanta!#REF!,2)+RIGHT(Tietokanta!#REF!,4)/6000</f>
        <v>#REF!</v>
      </c>
      <c r="F227" s="128">
        <v>38696</v>
      </c>
      <c r="G227" s="129">
        <v>0.763425925925926</v>
      </c>
      <c r="H227" s="127" t="e">
        <f>Tietokanta!#REF!</f>
        <v>#REF!</v>
      </c>
    </row>
    <row r="228" spans="1:8" ht="12.75">
      <c r="A228" t="s">
        <v>417</v>
      </c>
      <c r="B228" t="s">
        <v>418</v>
      </c>
      <c r="C228" t="str">
        <f>LEFT(Tietokanta!A213,6)</f>
        <v>KATKA </v>
      </c>
      <c r="D228">
        <f>LEFT(Tietokanta!K213,2)+RIGHT(Tietokanta!K213,4)/6000</f>
        <v>68.11866666666667</v>
      </c>
      <c r="E228">
        <f>LEFT(Tietokanta!L213,2)+RIGHT(Tietokanta!L213,4)/6000</f>
        <v>23.374666666666666</v>
      </c>
      <c r="F228" s="128">
        <v>38696</v>
      </c>
      <c r="G228" s="129">
        <v>0.763425925925926</v>
      </c>
      <c r="H228" s="127" t="str">
        <f>Tietokanta!J213</f>
        <v>ENONTEKIO</v>
      </c>
    </row>
    <row r="229" spans="1:8" ht="12.75">
      <c r="A229" t="s">
        <v>417</v>
      </c>
      <c r="B229" t="s">
        <v>418</v>
      </c>
      <c r="C229" t="e">
        <f>LEFT(Tietokanta!#REF!,6)</f>
        <v>#REF!</v>
      </c>
      <c r="D229" t="e">
        <f>LEFT(Tietokanta!#REF!,2)+RIGHT(Tietokanta!#REF!,4)/6000</f>
        <v>#REF!</v>
      </c>
      <c r="E229" t="e">
        <f>LEFT(Tietokanta!#REF!,2)+RIGHT(Tietokanta!#REF!,4)/6000</f>
        <v>#REF!</v>
      </c>
      <c r="F229" s="128">
        <v>38696</v>
      </c>
      <c r="G229" s="129">
        <v>0.763425925925926</v>
      </c>
      <c r="H229" s="127" t="e">
        <f>Tietokanta!#REF!</f>
        <v>#REF!</v>
      </c>
    </row>
    <row r="230" spans="1:8" ht="12.75">
      <c r="A230" t="s">
        <v>417</v>
      </c>
      <c r="B230" t="s">
        <v>418</v>
      </c>
      <c r="C230" t="str">
        <f>LEFT(Tietokanta!A214,6)</f>
        <v>OUNAS </v>
      </c>
      <c r="D230">
        <f>LEFT(Tietokanta!K214,2)+RIGHT(Tietokanta!K214,4)/6000</f>
        <v>68.26866666666666</v>
      </c>
      <c r="E230">
        <f>LEFT(Tietokanta!L214,2)+RIGHT(Tietokanta!L214,4)/6000</f>
        <v>23.657166666666665</v>
      </c>
      <c r="F230" s="128">
        <v>38696</v>
      </c>
      <c r="G230" s="129">
        <v>0.763425925925926</v>
      </c>
      <c r="H230" s="127" t="str">
        <f>Tietokanta!J214</f>
        <v>ENONTEKIO</v>
      </c>
    </row>
    <row r="231" spans="1:8" ht="12.75">
      <c r="A231" t="s">
        <v>417</v>
      </c>
      <c r="B231" t="s">
        <v>418</v>
      </c>
      <c r="C231" t="e">
        <f>LEFT(Tietokanta!#REF!,6)</f>
        <v>#REF!</v>
      </c>
      <c r="D231" t="e">
        <f>LEFT(Tietokanta!#REF!,2)+RIGHT(Tietokanta!#REF!,4)/6000</f>
        <v>#REF!</v>
      </c>
      <c r="E231" t="e">
        <f>LEFT(Tietokanta!#REF!,2)+RIGHT(Tietokanta!#REF!,4)/6000</f>
        <v>#REF!</v>
      </c>
      <c r="F231" s="128">
        <v>38696</v>
      </c>
      <c r="G231" s="129">
        <v>0.763425925925926</v>
      </c>
      <c r="H231" s="127" t="e">
        <f>Tietokanta!#REF!</f>
        <v>#REF!</v>
      </c>
    </row>
    <row r="232" spans="1:8" ht="12.75">
      <c r="A232" t="s">
        <v>417</v>
      </c>
      <c r="B232" t="s">
        <v>418</v>
      </c>
      <c r="C232" t="str">
        <f>LEFT(Tietokanta!A215,6)</f>
        <v>TUIRA </v>
      </c>
      <c r="D232">
        <f>LEFT(Tietokanta!K215,2)+RIGHT(Tietokanta!K215,4)/6000</f>
        <v>65.05733333333333</v>
      </c>
      <c r="E232">
        <f>LEFT(Tietokanta!L215,2)+RIGHT(Tietokanta!L215,4)/6000</f>
        <v>25.402833333333334</v>
      </c>
      <c r="F232" s="128">
        <v>38696</v>
      </c>
      <c r="G232" s="129">
        <v>0.763425925925926</v>
      </c>
      <c r="H232" s="127" t="str">
        <f>Tietokanta!J215</f>
        <v>OULU</v>
      </c>
    </row>
    <row r="233" spans="1:8" ht="12.75">
      <c r="A233" t="s">
        <v>417</v>
      </c>
      <c r="B233" t="s">
        <v>418</v>
      </c>
      <c r="C233" t="e">
        <f>LEFT(Tietokanta!#REF!,6)</f>
        <v>#REF!</v>
      </c>
      <c r="D233" t="e">
        <f>LEFT(Tietokanta!#REF!,2)+RIGHT(Tietokanta!#REF!,4)/6000</f>
        <v>#REF!</v>
      </c>
      <c r="E233" t="e">
        <f>LEFT(Tietokanta!#REF!,2)+RIGHT(Tietokanta!#REF!,4)/6000</f>
        <v>#REF!</v>
      </c>
      <c r="F233" s="128">
        <v>38696</v>
      </c>
      <c r="G233" s="129">
        <v>0.763425925925926</v>
      </c>
      <c r="H233" s="127" t="e">
        <f>Tietokanta!#REF!</f>
        <v>#REF!</v>
      </c>
    </row>
    <row r="234" spans="1:8" ht="12.75">
      <c r="A234" t="s">
        <v>417</v>
      </c>
      <c r="B234" t="s">
        <v>418</v>
      </c>
      <c r="C234" t="str">
        <f>LEFT(Tietokanta!A216,6)</f>
        <v>SVEDU </v>
      </c>
      <c r="D234">
        <f>LEFT(Tietokanta!K216,2)+RIGHT(Tietokanta!K216,4)/6000</f>
        <v>65.77216666666666</v>
      </c>
      <c r="E234">
        <f>LEFT(Tietokanta!L216,2)+RIGHT(Tietokanta!L216,4)/6000</f>
        <v>24.27166666666667</v>
      </c>
      <c r="F234" s="128">
        <v>38696</v>
      </c>
      <c r="G234" s="129">
        <v>0.763425925925926</v>
      </c>
      <c r="H234" s="127" t="str">
        <f>Tietokanta!J216</f>
        <v>KEMI-TORNIO</v>
      </c>
    </row>
    <row r="235" spans="1:8" ht="12.75">
      <c r="A235" t="s">
        <v>417</v>
      </c>
      <c r="B235" t="s">
        <v>418</v>
      </c>
      <c r="C235" t="e">
        <f>LEFT(Tietokanta!#REF!,6)</f>
        <v>#REF!</v>
      </c>
      <c r="D235" t="e">
        <f>LEFT(Tietokanta!#REF!,2)+RIGHT(Tietokanta!#REF!,4)/6000</f>
        <v>#REF!</v>
      </c>
      <c r="E235" t="e">
        <f>LEFT(Tietokanta!#REF!,2)+RIGHT(Tietokanta!#REF!,4)/6000</f>
        <v>#REF!</v>
      </c>
      <c r="F235" s="128">
        <v>38696</v>
      </c>
      <c r="G235" s="129">
        <v>0.763425925925926</v>
      </c>
      <c r="H235" s="127" t="e">
        <f>Tietokanta!#REF!</f>
        <v>#REF!</v>
      </c>
    </row>
    <row r="236" spans="1:8" ht="12.75">
      <c r="A236" t="s">
        <v>417</v>
      </c>
      <c r="B236" t="s">
        <v>418</v>
      </c>
      <c r="C236" t="str">
        <f>LEFT(Tietokanta!A217,6)</f>
        <v>LINJA </v>
      </c>
      <c r="D236">
        <f>LEFT(Tietokanta!K217,2)+RIGHT(Tietokanta!K217,4)/6000</f>
        <v>60.785666666666664</v>
      </c>
      <c r="E236">
        <f>LEFT(Tietokanta!L217,2)+RIGHT(Tietokanta!L217,4)/6000</f>
        <v>26.584</v>
      </c>
      <c r="F236" s="128">
        <v>38696</v>
      </c>
      <c r="G236" s="129">
        <v>0.763425925925926</v>
      </c>
      <c r="H236" s="127" t="str">
        <f>Tietokanta!J217</f>
        <v>UTTI</v>
      </c>
    </row>
    <row r="237" spans="1:8" ht="12.75">
      <c r="A237" t="s">
        <v>417</v>
      </c>
      <c r="B237" t="s">
        <v>418</v>
      </c>
      <c r="C237" t="e">
        <f>LEFT(Tietokanta!#REF!,6)</f>
        <v>#REF!</v>
      </c>
      <c r="D237" t="e">
        <f>LEFT(Tietokanta!#REF!,2)+RIGHT(Tietokanta!#REF!,4)/6000</f>
        <v>#REF!</v>
      </c>
      <c r="E237" t="e">
        <f>LEFT(Tietokanta!#REF!,2)+RIGHT(Tietokanta!#REF!,4)/6000</f>
        <v>#REF!</v>
      </c>
      <c r="F237" s="128">
        <v>38696</v>
      </c>
      <c r="G237" s="129">
        <v>0.763425925925926</v>
      </c>
      <c r="H237" s="127" t="e">
        <f>Tietokanta!#REF!</f>
        <v>#REF!</v>
      </c>
    </row>
    <row r="238" spans="1:8" ht="12.75">
      <c r="A238" t="s">
        <v>417</v>
      </c>
      <c r="B238" t="s">
        <v>418</v>
      </c>
      <c r="C238" t="str">
        <f>LEFT(Tietokanta!A218,6)</f>
        <v>TUORLA</v>
      </c>
      <c r="D238">
        <f>LEFT(Tietokanta!K218,2)+RIGHT(Tietokanta!K218,4)/6000</f>
        <v>60.4175</v>
      </c>
      <c r="E238">
        <f>LEFT(Tietokanta!L218,2)+RIGHT(Tietokanta!L218,4)/6000</f>
        <v>22.4325</v>
      </c>
      <c r="F238" s="128">
        <v>38696</v>
      </c>
      <c r="G238" s="129">
        <v>0.763425925925926</v>
      </c>
      <c r="H238" s="127" t="str">
        <f>Tietokanta!J218</f>
        <v>TUORLA</v>
      </c>
    </row>
    <row r="239" spans="1:8" ht="12.75">
      <c r="A239" t="s">
        <v>417</v>
      </c>
      <c r="B239" t="s">
        <v>418</v>
      </c>
      <c r="C239" t="str">
        <f>LEFT(Tietokanta!A219,6)</f>
        <v>UMMELJ</v>
      </c>
      <c r="D239">
        <f>LEFT(Tietokanta!K219,2)+RIGHT(Tietokanta!K219,4)/6000</f>
        <v>60.754333333333335</v>
      </c>
      <c r="E239">
        <f>LEFT(Tietokanta!L219,2)+RIGHT(Tietokanta!L219,4)/6000</f>
        <v>26.736833333333333</v>
      </c>
      <c r="F239" s="128">
        <v>38696</v>
      </c>
      <c r="G239" s="129">
        <v>0.763425925925926</v>
      </c>
      <c r="H239" s="127" t="str">
        <f>Tietokanta!J219</f>
        <v>UMMELJOKI</v>
      </c>
    </row>
    <row r="240" spans="1:8" ht="12.75">
      <c r="A240" t="s">
        <v>417</v>
      </c>
      <c r="B240" t="s">
        <v>418</v>
      </c>
      <c r="C240" t="str">
        <f>LEFT(Tietokanta!A220,6)</f>
        <v>UTESI</v>
      </c>
      <c r="D240">
        <f>LEFT(Tietokanta!K220,2)+RIGHT(Tietokanta!K220,4)/6000</f>
        <v>69.917</v>
      </c>
      <c r="E240">
        <f>LEFT(Tietokanta!L220,2)+RIGHT(Tietokanta!L220,4)/6000</f>
        <v>27.024</v>
      </c>
      <c r="F240" s="128">
        <v>38696</v>
      </c>
      <c r="G240" s="129">
        <v>0.763425925925926</v>
      </c>
      <c r="H240" s="127" t="str">
        <f>Tietokanta!J220</f>
        <v>RAJANYLITYS</v>
      </c>
    </row>
    <row r="241" spans="1:8" ht="12.75">
      <c r="A241" t="s">
        <v>417</v>
      </c>
      <c r="B241" t="s">
        <v>418</v>
      </c>
      <c r="C241" t="e">
        <f>LEFT(Tietokanta!#REF!,6)</f>
        <v>#REF!</v>
      </c>
      <c r="D241" t="e">
        <f>LEFT(Tietokanta!#REF!,2)+RIGHT(Tietokanta!#REF!,4)/6000</f>
        <v>#REF!</v>
      </c>
      <c r="E241" t="e">
        <f>LEFT(Tietokanta!#REF!,2)+RIGHT(Tietokanta!#REF!,4)/6000</f>
        <v>#REF!</v>
      </c>
      <c r="F241" s="128">
        <v>38696</v>
      </c>
      <c r="G241" s="129">
        <v>0.763425925925926</v>
      </c>
      <c r="H241" s="127" t="e">
        <f>Tietokanta!#REF!</f>
        <v>#REF!</v>
      </c>
    </row>
    <row r="242" spans="1:8" ht="12.75">
      <c r="A242" t="s">
        <v>417</v>
      </c>
      <c r="B242" t="s">
        <v>418</v>
      </c>
      <c r="C242" t="str">
        <f>LEFT(Tietokanta!A221,6)</f>
        <v>MELAN </v>
      </c>
      <c r="D242">
        <f>LEFT(Tietokanta!K221,2)+RIGHT(Tietokanta!K221,4)/6000</f>
        <v>62.92333333333333</v>
      </c>
      <c r="E242">
        <f>LEFT(Tietokanta!L221,2)+RIGHT(Tietokanta!L221,4)/6000</f>
        <v>28.166833333333333</v>
      </c>
      <c r="F242" s="128">
        <v>38696</v>
      </c>
      <c r="G242" s="129">
        <v>0.763425925925926</v>
      </c>
      <c r="H242" s="127" t="str">
        <f>Tietokanta!J221</f>
        <v>KUOPIO</v>
      </c>
    </row>
    <row r="243" spans="6:7" ht="12.75">
      <c r="F243" s="128"/>
      <c r="G243" s="129"/>
    </row>
    <row r="244" spans="6:7" ht="12.75">
      <c r="F244" s="128"/>
      <c r="G244" s="129"/>
    </row>
    <row r="245" spans="6:7" ht="12.75">
      <c r="F245" s="128"/>
      <c r="G245" s="129"/>
    </row>
    <row r="246" spans="6:7" ht="12.75">
      <c r="F246" s="128"/>
      <c r="G246" s="129"/>
    </row>
  </sheetData>
  <sheetProtection/>
  <conditionalFormatting sqref="L3 J2:J6 L2:M2">
    <cfRule type="cellIs" priority="1" dxfId="0" operator="notEqual" stopIfTrue="1">
      <formula>S2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D43"/>
  <sheetViews>
    <sheetView zoomScalePageLayoutView="0" workbookViewId="0" topLeftCell="A7">
      <selection activeCell="B44" sqref="B44"/>
    </sheetView>
  </sheetViews>
  <sheetFormatPr defaultColWidth="9.140625" defaultRowHeight="12.75"/>
  <cols>
    <col min="1" max="2" width="9.140625" style="257" customWidth="1"/>
    <col min="3" max="3" width="11.00390625" style="1" customWidth="1"/>
    <col min="4" max="4" width="78.00390625" style="0" customWidth="1"/>
  </cols>
  <sheetData>
    <row r="1" spans="1:4" ht="13.5" thickBot="1">
      <c r="A1" s="270" t="s">
        <v>250</v>
      </c>
      <c r="B1" s="270" t="s">
        <v>681</v>
      </c>
      <c r="C1" s="5" t="s">
        <v>252</v>
      </c>
      <c r="D1" s="5" t="s">
        <v>253</v>
      </c>
    </row>
    <row r="2" spans="1:4" ht="12.75">
      <c r="A2" s="271" t="s">
        <v>251</v>
      </c>
      <c r="B2" s="271"/>
      <c r="C2" s="35">
        <v>37262</v>
      </c>
      <c r="D2" s="33" t="s">
        <v>254</v>
      </c>
    </row>
    <row r="3" spans="1:4" ht="12.75">
      <c r="A3" s="272" t="s">
        <v>255</v>
      </c>
      <c r="B3" s="272"/>
      <c r="C3" s="36">
        <v>37285</v>
      </c>
      <c r="D3" s="29" t="s">
        <v>256</v>
      </c>
    </row>
    <row r="4" spans="1:4" ht="12.75">
      <c r="A4" s="273" t="s">
        <v>341</v>
      </c>
      <c r="B4" s="273"/>
      <c r="C4" s="34">
        <v>37681</v>
      </c>
      <c r="D4" t="s">
        <v>342</v>
      </c>
    </row>
    <row r="5" spans="1:4" ht="12.75">
      <c r="A5" s="273"/>
      <c r="B5" s="273"/>
      <c r="C5" s="34"/>
      <c r="D5" t="s">
        <v>352</v>
      </c>
    </row>
    <row r="6" ht="12.75">
      <c r="D6" t="s">
        <v>343</v>
      </c>
    </row>
    <row r="7" ht="12.75">
      <c r="D7" t="s">
        <v>344</v>
      </c>
    </row>
    <row r="8" ht="12.75">
      <c r="D8" t="s">
        <v>345</v>
      </c>
    </row>
    <row r="9" ht="12.75">
      <c r="D9" t="s">
        <v>346</v>
      </c>
    </row>
    <row r="10" ht="12.75">
      <c r="D10" t="s">
        <v>351</v>
      </c>
    </row>
    <row r="11" spans="1:4" ht="12.75">
      <c r="A11" s="274"/>
      <c r="B11" s="274"/>
      <c r="C11" s="108"/>
      <c r="D11" s="109" t="s">
        <v>353</v>
      </c>
    </row>
    <row r="12" spans="1:4" ht="12.75">
      <c r="A12" s="273" t="s">
        <v>373</v>
      </c>
      <c r="B12" s="273"/>
      <c r="C12" s="34">
        <v>38040</v>
      </c>
      <c r="D12" t="s">
        <v>374</v>
      </c>
    </row>
    <row r="13" ht="12.75">
      <c r="D13" t="s">
        <v>375</v>
      </c>
    </row>
    <row r="14" ht="12.75">
      <c r="D14" t="s">
        <v>376</v>
      </c>
    </row>
    <row r="15" ht="12.75">
      <c r="D15" s="110" t="s">
        <v>377</v>
      </c>
    </row>
    <row r="17" spans="1:4" ht="12.75">
      <c r="A17" s="274"/>
      <c r="B17" s="274"/>
      <c r="C17" s="108"/>
      <c r="D17" s="109" t="s">
        <v>342</v>
      </c>
    </row>
    <row r="18" spans="1:4" ht="12.75">
      <c r="A18" s="275" t="s">
        <v>408</v>
      </c>
      <c r="B18" s="275"/>
      <c r="C18" s="34">
        <v>38518</v>
      </c>
      <c r="D18" t="s">
        <v>342</v>
      </c>
    </row>
    <row r="19" spans="1:4" ht="12.75">
      <c r="A19" s="274"/>
      <c r="B19" s="274"/>
      <c r="C19" s="108"/>
      <c r="D19" s="109" t="s">
        <v>409</v>
      </c>
    </row>
    <row r="20" spans="1:4" ht="12.75">
      <c r="A20" s="273" t="s">
        <v>433</v>
      </c>
      <c r="B20" s="273"/>
      <c r="C20" s="34">
        <v>38685</v>
      </c>
      <c r="D20" s="130" t="s">
        <v>430</v>
      </c>
    </row>
    <row r="21" ht="12.75">
      <c r="D21" s="130" t="s">
        <v>431</v>
      </c>
    </row>
    <row r="22" ht="12.75">
      <c r="D22" s="130" t="s">
        <v>342</v>
      </c>
    </row>
    <row r="23" spans="1:4" ht="12.75">
      <c r="A23" s="274"/>
      <c r="B23" s="274"/>
      <c r="C23" s="108"/>
      <c r="D23" s="137" t="s">
        <v>432</v>
      </c>
    </row>
    <row r="24" spans="1:4" ht="12.75">
      <c r="A24" s="257">
        <v>1.6</v>
      </c>
      <c r="C24" s="34">
        <v>38704</v>
      </c>
      <c r="D24" t="s">
        <v>496</v>
      </c>
    </row>
    <row r="25" spans="3:4" ht="12.75">
      <c r="C25" s="1" t="s">
        <v>504</v>
      </c>
      <c r="D25" t="s">
        <v>489</v>
      </c>
    </row>
    <row r="26" ht="12.75">
      <c r="D26" t="s">
        <v>490</v>
      </c>
    </row>
    <row r="27" ht="12.75">
      <c r="D27" t="s">
        <v>491</v>
      </c>
    </row>
    <row r="28" ht="12.75">
      <c r="D28" t="s">
        <v>492</v>
      </c>
    </row>
    <row r="29" ht="12.75">
      <c r="D29" t="s">
        <v>493</v>
      </c>
    </row>
    <row r="30" ht="12.75">
      <c r="D30" t="s">
        <v>494</v>
      </c>
    </row>
    <row r="31" ht="12.75">
      <c r="D31" t="s">
        <v>495</v>
      </c>
    </row>
    <row r="32" spans="1:4" ht="12.75">
      <c r="A32" s="274"/>
      <c r="B32" s="274"/>
      <c r="C32" s="108"/>
      <c r="D32" s="109" t="s">
        <v>503</v>
      </c>
    </row>
    <row r="33" spans="1:4" ht="12.75">
      <c r="A33" s="257">
        <v>1.7</v>
      </c>
      <c r="B33" s="257" t="s">
        <v>682</v>
      </c>
      <c r="C33" s="34">
        <v>39655</v>
      </c>
      <c r="D33" s="130" t="s">
        <v>550</v>
      </c>
    </row>
    <row r="34" spans="1:4" ht="12.75">
      <c r="A34" s="274"/>
      <c r="B34" s="274"/>
      <c r="C34" s="108"/>
      <c r="D34" s="137" t="s">
        <v>551</v>
      </c>
    </row>
    <row r="35" spans="1:4" ht="12.75">
      <c r="A35" s="257" t="s">
        <v>556</v>
      </c>
      <c r="B35" s="257" t="s">
        <v>683</v>
      </c>
      <c r="C35" s="34">
        <v>39665</v>
      </c>
      <c r="D35" s="258" t="s">
        <v>558</v>
      </c>
    </row>
    <row r="36" spans="1:4" ht="12.75">
      <c r="A36" s="274"/>
      <c r="B36" s="274"/>
      <c r="C36" s="108"/>
      <c r="D36" s="263" t="s">
        <v>557</v>
      </c>
    </row>
    <row r="37" spans="1:4" ht="12.75">
      <c r="A37" s="276" t="s">
        <v>678</v>
      </c>
      <c r="B37" s="276" t="s">
        <v>683</v>
      </c>
      <c r="C37" s="36">
        <v>39667</v>
      </c>
      <c r="D37" s="264" t="s">
        <v>559</v>
      </c>
    </row>
    <row r="38" spans="1:4" ht="12.75">
      <c r="A38" s="257" t="s">
        <v>679</v>
      </c>
      <c r="B38" s="257" t="s">
        <v>682</v>
      </c>
      <c r="C38" s="34">
        <v>39706</v>
      </c>
      <c r="D38" s="258" t="s">
        <v>680</v>
      </c>
    </row>
    <row r="39" spans="1:4" ht="12.75">
      <c r="A39" s="257" t="s">
        <v>688</v>
      </c>
      <c r="B39" s="257" t="s">
        <v>682</v>
      </c>
      <c r="C39" s="34">
        <v>39707</v>
      </c>
      <c r="D39" s="258" t="s">
        <v>689</v>
      </c>
    </row>
    <row r="40" spans="1:4" ht="12.75">
      <c r="A40" s="257" t="s">
        <v>692</v>
      </c>
      <c r="B40" s="257" t="s">
        <v>682</v>
      </c>
      <c r="C40" s="34">
        <v>39710</v>
      </c>
      <c r="D40" s="258" t="s">
        <v>693</v>
      </c>
    </row>
    <row r="41" spans="1:4" ht="12.75">
      <c r="A41" s="257" t="s">
        <v>835</v>
      </c>
      <c r="B41" s="257" t="s">
        <v>682</v>
      </c>
      <c r="C41" s="34">
        <v>41960</v>
      </c>
      <c r="D41" s="258" t="s">
        <v>834</v>
      </c>
    </row>
    <row r="42" spans="1:4" ht="12.75">
      <c r="A42" s="257" t="s">
        <v>836</v>
      </c>
      <c r="B42" s="257" t="s">
        <v>682</v>
      </c>
      <c r="C42" s="1" t="s">
        <v>837</v>
      </c>
      <c r="D42" s="258" t="s">
        <v>838</v>
      </c>
    </row>
    <row r="43" spans="1:4" ht="12.75">
      <c r="A43" s="257" t="s">
        <v>846</v>
      </c>
      <c r="B43" s="257" t="s">
        <v>847</v>
      </c>
      <c r="C43" s="34">
        <v>42071</v>
      </c>
      <c r="D43" s="258" t="s">
        <v>848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 Perälä</dc:creator>
  <cp:keywords/>
  <dc:description/>
  <cp:lastModifiedBy>Antti</cp:lastModifiedBy>
  <cp:lastPrinted>2013-03-22T18:23:31Z</cp:lastPrinted>
  <dcterms:created xsi:type="dcterms:W3CDTF">2001-11-18T19:22:43Z</dcterms:created>
  <dcterms:modified xsi:type="dcterms:W3CDTF">2015-03-08T17:51:41Z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174989879</vt:i4>
  </property>
  <property fmtid="{D5CDD505-2E9C-101B-9397-08002B2CF9AE}" pid="3" name="_NewReviewCycle">
    <vt:lpwstr/>
  </property>
  <property fmtid="{D5CDD505-2E9C-101B-9397-08002B2CF9AE}" pid="4" name="_EmailSubject">
    <vt:lpwstr>Matkalentolaskin</vt:lpwstr>
  </property>
  <property fmtid="{D5CDD505-2E9C-101B-9397-08002B2CF9AE}" pid="5" name="_AuthorEmail">
    <vt:lpwstr>toma@arppe.net</vt:lpwstr>
  </property>
  <property fmtid="{D5CDD505-2E9C-101B-9397-08002B2CF9AE}" pid="6" name="_AuthorEmailDisplayName">
    <vt:lpwstr>Tom Arppe</vt:lpwstr>
  </property>
  <property fmtid="{D5CDD505-2E9C-101B-9397-08002B2CF9AE}" pid="7" name="_ReviewingToolsShownOnce">
    <vt:lpwstr/>
  </property>
</Properties>
</file>